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danie\Desktop\"/>
    </mc:Choice>
  </mc:AlternateContent>
  <xr:revisionPtr revIDLastSave="0" documentId="13_ncr:1_{364113F4-968E-41A3-8470-42B7B9ABD5D5}" xr6:coauthVersionLast="43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cerno_Cache_XXXXX" sheetId="3" state="veryHidden" r:id="rId1"/>
    <sheet name="INDEX" sheetId="9" r:id="rId2"/>
    <sheet name="Stato Patrimoniale" sheetId="4" r:id="rId3"/>
    <sheet name="Conto Economico" sheetId="5" r:id="rId4"/>
    <sheet name="ANALISI PER INDICI" sheetId="7" r:id="rId5"/>
    <sheet name="ANALISI DELLE INCIDENZE" sheetId="8" r:id="rId6"/>
  </sheets>
  <definedNames>
    <definedName name="CIQWBGuid" hidden="1">"2cd8126d-26c3-430c-b7fa-a069e3a1fc62"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"10/01/2018 15:52:08"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2" i="7" l="1"/>
  <c r="E28" i="4"/>
  <c r="D28" i="4"/>
  <c r="C28" i="4"/>
  <c r="E18" i="4"/>
  <c r="D18" i="4"/>
  <c r="C18" i="4"/>
  <c r="B18" i="4"/>
  <c r="B3" i="5" l="1"/>
  <c r="C3" i="5" s="1"/>
  <c r="D3" i="5" s="1"/>
  <c r="E3" i="5" s="1"/>
  <c r="B3" i="8"/>
  <c r="C3" i="8" s="1"/>
  <c r="D3" i="8" s="1"/>
  <c r="E3" i="8" s="1"/>
  <c r="B3" i="7"/>
  <c r="C3" i="7" s="1"/>
  <c r="D3" i="7" s="1"/>
  <c r="E3" i="7" s="1"/>
  <c r="B3" i="4"/>
  <c r="C3" i="4" s="1"/>
  <c r="D3" i="4" s="1"/>
  <c r="E3" i="4" s="1"/>
  <c r="A1" i="8"/>
  <c r="A1" i="7"/>
  <c r="A1" i="5"/>
  <c r="A1" i="4"/>
  <c r="E10" i="4" l="1"/>
  <c r="E19" i="4" s="1"/>
  <c r="B25" i="4" l="1"/>
  <c r="C47" i="7" l="1"/>
  <c r="D47" i="7"/>
  <c r="E47" i="7"/>
  <c r="D30" i="7"/>
  <c r="E30" i="7"/>
  <c r="B30" i="7"/>
  <c r="C41" i="7"/>
  <c r="D41" i="7"/>
  <c r="E41" i="7"/>
  <c r="B41" i="7"/>
  <c r="C40" i="7"/>
  <c r="D40" i="7"/>
  <c r="E40" i="7"/>
  <c r="B40" i="7"/>
  <c r="C35" i="7"/>
  <c r="D35" i="7"/>
  <c r="E35" i="7"/>
  <c r="B35" i="7"/>
  <c r="C34" i="7"/>
  <c r="D34" i="7"/>
  <c r="E34" i="7"/>
  <c r="B34" i="7"/>
  <c r="F47" i="7" l="1"/>
  <c r="F34" i="7"/>
  <c r="F35" i="7"/>
  <c r="F41" i="7"/>
  <c r="F40" i="7"/>
  <c r="E24" i="5"/>
  <c r="D24" i="5"/>
  <c r="B24" i="5"/>
  <c r="C24" i="5"/>
  <c r="E8" i="5"/>
  <c r="B8" i="5"/>
  <c r="B11" i="5" s="1"/>
  <c r="C8" i="5"/>
  <c r="D8" i="5"/>
  <c r="B12" i="7" l="1"/>
  <c r="B12" i="5"/>
  <c r="D11" i="5"/>
  <c r="D43" i="8"/>
  <c r="D40" i="8"/>
  <c r="D41" i="8" s="1"/>
  <c r="D48" i="8"/>
  <c r="D56" i="8"/>
  <c r="D45" i="8"/>
  <c r="D47" i="8"/>
  <c r="D49" i="8"/>
  <c r="D51" i="8"/>
  <c r="D50" i="8"/>
  <c r="D44" i="8"/>
  <c r="D52" i="8"/>
  <c r="D46" i="8"/>
  <c r="D36" i="7"/>
  <c r="D14" i="7"/>
  <c r="D45" i="7"/>
  <c r="D39" i="7"/>
  <c r="D42" i="7" s="1"/>
  <c r="D33" i="7"/>
  <c r="C11" i="5"/>
  <c r="C43" i="8"/>
  <c r="C40" i="8"/>
  <c r="C41" i="8" s="1"/>
  <c r="C56" i="8"/>
  <c r="C45" i="8"/>
  <c r="C47" i="8"/>
  <c r="C49" i="8"/>
  <c r="C51" i="8"/>
  <c r="C52" i="8"/>
  <c r="C50" i="8"/>
  <c r="C44" i="8"/>
  <c r="C46" i="8"/>
  <c r="C48" i="8"/>
  <c r="C36" i="7"/>
  <c r="C33" i="7"/>
  <c r="C45" i="7"/>
  <c r="C39" i="7"/>
  <c r="C42" i="7" s="1"/>
  <c r="C14" i="7"/>
  <c r="B47" i="8"/>
  <c r="B49" i="8"/>
  <c r="B51" i="8"/>
  <c r="B45" i="8"/>
  <c r="B50" i="8"/>
  <c r="B43" i="8"/>
  <c r="B40" i="8"/>
  <c r="B41" i="8" s="1"/>
  <c r="B56" i="8"/>
  <c r="B44" i="8"/>
  <c r="B46" i="8"/>
  <c r="B48" i="8"/>
  <c r="B52" i="8"/>
  <c r="B33" i="7"/>
  <c r="B36" i="7"/>
  <c r="B14" i="7"/>
  <c r="B39" i="7"/>
  <c r="E44" i="8"/>
  <c r="E46" i="8"/>
  <c r="E48" i="8"/>
  <c r="E50" i="8"/>
  <c r="E52" i="8"/>
  <c r="E43" i="8"/>
  <c r="E40" i="8"/>
  <c r="E41" i="8" s="1"/>
  <c r="E56" i="8"/>
  <c r="E45" i="8"/>
  <c r="E47" i="8"/>
  <c r="E49" i="8"/>
  <c r="E51" i="8"/>
  <c r="E36" i="7"/>
  <c r="E39" i="7"/>
  <c r="E42" i="7" s="1"/>
  <c r="E45" i="7"/>
  <c r="E33" i="7"/>
  <c r="E14" i="7"/>
  <c r="B25" i="5"/>
  <c r="B26" i="5" s="1"/>
  <c r="E11" i="5"/>
  <c r="E12" i="7" l="1"/>
  <c r="E12" i="5"/>
  <c r="D12" i="7"/>
  <c r="D12" i="5"/>
  <c r="C12" i="7"/>
  <c r="C12" i="5"/>
  <c r="F14" i="7"/>
  <c r="E53" i="8"/>
  <c r="E54" i="8" s="1"/>
  <c r="E57" i="8" s="1"/>
  <c r="D25" i="5"/>
  <c r="B46" i="7"/>
  <c r="B18" i="7"/>
  <c r="B26" i="7"/>
  <c r="B13" i="7"/>
  <c r="F33" i="7"/>
  <c r="B53" i="8"/>
  <c r="B54" i="8" s="1"/>
  <c r="B57" i="8" s="1"/>
  <c r="C25" i="5"/>
  <c r="C26" i="5" s="1"/>
  <c r="F45" i="7"/>
  <c r="C53" i="8"/>
  <c r="C54" i="8" s="1"/>
  <c r="C57" i="8" s="1"/>
  <c r="D53" i="8"/>
  <c r="D54" i="8" s="1"/>
  <c r="B29" i="5"/>
  <c r="E25" i="5"/>
  <c r="E26" i="5" s="1"/>
  <c r="F39" i="7"/>
  <c r="B42" i="7"/>
  <c r="F42" i="7" s="1"/>
  <c r="F36" i="7"/>
  <c r="B29" i="4"/>
  <c r="B34" i="4"/>
  <c r="B29" i="7" s="1"/>
  <c r="C25" i="4"/>
  <c r="D25" i="4"/>
  <c r="D29" i="4" s="1"/>
  <c r="E25" i="4"/>
  <c r="E29" i="4" s="1"/>
  <c r="B10" i="4"/>
  <c r="C10" i="4"/>
  <c r="C19" i="4" s="1"/>
  <c r="D10" i="4"/>
  <c r="D19" i="4" s="1"/>
  <c r="B23" i="7" l="1"/>
  <c r="B19" i="4"/>
  <c r="B59" i="8"/>
  <c r="B60" i="8" s="1"/>
  <c r="B30" i="5"/>
  <c r="D29" i="5"/>
  <c r="D26" i="5"/>
  <c r="F12" i="7"/>
  <c r="D46" i="7"/>
  <c r="D26" i="7"/>
  <c r="D18" i="7"/>
  <c r="D13" i="7"/>
  <c r="B28" i="7"/>
  <c r="B8" i="8"/>
  <c r="C8" i="8"/>
  <c r="C23" i="8"/>
  <c r="C16" i="8"/>
  <c r="C18" i="8"/>
  <c r="C17" i="8"/>
  <c r="C32" i="8"/>
  <c r="C27" i="8"/>
  <c r="C9" i="8"/>
  <c r="C11" i="8"/>
  <c r="C15" i="8"/>
  <c r="C10" i="8"/>
  <c r="C14" i="8"/>
  <c r="C24" i="8"/>
  <c r="C19" i="7"/>
  <c r="C26" i="7"/>
  <c r="C13" i="7"/>
  <c r="C46" i="7"/>
  <c r="C18" i="7"/>
  <c r="C29" i="5"/>
  <c r="D10" i="8"/>
  <c r="D24" i="8"/>
  <c r="D8" i="8"/>
  <c r="D32" i="8"/>
  <c r="D27" i="8"/>
  <c r="D23" i="8"/>
  <c r="D16" i="8"/>
  <c r="D18" i="8"/>
  <c r="D28" i="8"/>
  <c r="D9" i="8"/>
  <c r="D11" i="8"/>
  <c r="D15" i="8"/>
  <c r="D14" i="8"/>
  <c r="D17" i="8"/>
  <c r="D19" i="7"/>
  <c r="E18" i="7"/>
  <c r="E26" i="7"/>
  <c r="E13" i="7"/>
  <c r="E46" i="7"/>
  <c r="E29" i="5"/>
  <c r="E23" i="7"/>
  <c r="E24" i="7"/>
  <c r="D23" i="7"/>
  <c r="D24" i="7"/>
  <c r="E28" i="8"/>
  <c r="E24" i="8"/>
  <c r="E15" i="8"/>
  <c r="E17" i="8"/>
  <c r="E32" i="8"/>
  <c r="E27" i="8"/>
  <c r="E10" i="8"/>
  <c r="E9" i="8"/>
  <c r="E14" i="8"/>
  <c r="E23" i="8"/>
  <c r="E8" i="8"/>
  <c r="E16" i="8"/>
  <c r="E18" i="8"/>
  <c r="E11" i="8"/>
  <c r="E19" i="7"/>
  <c r="C23" i="7"/>
  <c r="C24" i="7"/>
  <c r="B24" i="7"/>
  <c r="D57" i="8"/>
  <c r="B35" i="4"/>
  <c r="B15" i="7" l="1"/>
  <c r="B33" i="5"/>
  <c r="C59" i="8"/>
  <c r="C60" i="8" s="1"/>
  <c r="C30" i="5"/>
  <c r="E59" i="8"/>
  <c r="E60" i="8" s="1"/>
  <c r="E30" i="5"/>
  <c r="D59" i="8"/>
  <c r="D60" i="8" s="1"/>
  <c r="D30" i="5"/>
  <c r="F13" i="7"/>
  <c r="F46" i="7"/>
  <c r="F26" i="7"/>
  <c r="B23" i="8"/>
  <c r="B27" i="8"/>
  <c r="B32" i="8"/>
  <c r="B17" i="8"/>
  <c r="B24" i="8"/>
  <c r="B11" i="8"/>
  <c r="B19" i="7"/>
  <c r="B20" i="7" s="1"/>
  <c r="B16" i="8"/>
  <c r="B10" i="8"/>
  <c r="B14" i="8"/>
  <c r="F18" i="7"/>
  <c r="D20" i="7"/>
  <c r="B15" i="8"/>
  <c r="B9" i="8"/>
  <c r="B28" i="8"/>
  <c r="B18" i="8"/>
  <c r="C20" i="7"/>
  <c r="F24" i="7"/>
  <c r="F23" i="7"/>
  <c r="B33" i="8"/>
  <c r="E12" i="8"/>
  <c r="E19" i="8" s="1"/>
  <c r="E20" i="7"/>
  <c r="D12" i="8"/>
  <c r="D19" i="8" s="1"/>
  <c r="C33" i="5"/>
  <c r="C15" i="7"/>
  <c r="C25" i="8"/>
  <c r="C12" i="8"/>
  <c r="C19" i="8" s="1"/>
  <c r="D25" i="8"/>
  <c r="D29" i="8" s="1"/>
  <c r="E25" i="8"/>
  <c r="E29" i="8" s="1"/>
  <c r="B37" i="4"/>
  <c r="B7" i="7"/>
  <c r="C34" i="5" l="1"/>
  <c r="C33" i="4"/>
  <c r="D33" i="4" s="1"/>
  <c r="B34" i="5"/>
  <c r="B12" i="8"/>
  <c r="B19" i="8" s="1"/>
  <c r="B25" i="8"/>
  <c r="B29" i="8" s="1"/>
  <c r="B34" i="8"/>
  <c r="E15" i="7"/>
  <c r="E33" i="5"/>
  <c r="E34" i="5" s="1"/>
  <c r="D33" i="5"/>
  <c r="D34" i="5" s="1"/>
  <c r="D15" i="7"/>
  <c r="B4" i="7"/>
  <c r="B6" i="7"/>
  <c r="B8" i="7" s="1"/>
  <c r="F19" i="7"/>
  <c r="F20" i="7" s="1"/>
  <c r="C6" i="7"/>
  <c r="E33" i="4" l="1"/>
  <c r="D34" i="4"/>
  <c r="D33" i="8"/>
  <c r="D34" i="8" s="1"/>
  <c r="D35" i="8" s="1"/>
  <c r="D4" i="7"/>
  <c r="C34" i="4"/>
  <c r="C4" i="7" s="1"/>
  <c r="C33" i="8"/>
  <c r="C34" i="8" s="1"/>
  <c r="B35" i="8"/>
  <c r="D6" i="7"/>
  <c r="F15" i="7"/>
  <c r="E6" i="7"/>
  <c r="B9" i="7"/>
  <c r="D29" i="7" l="1"/>
  <c r="D35" i="4"/>
  <c r="D28" i="7"/>
  <c r="E34" i="4"/>
  <c r="E33" i="8"/>
  <c r="E34" i="8" s="1"/>
  <c r="E35" i="8" s="1"/>
  <c r="F6" i="7"/>
  <c r="C28" i="8"/>
  <c r="C29" i="8" s="1"/>
  <c r="C35" i="8" s="1"/>
  <c r="C29" i="7"/>
  <c r="C29" i="4"/>
  <c r="C35" i="4" s="1"/>
  <c r="C7" i="7" s="1"/>
  <c r="C30" i="7"/>
  <c r="F30" i="7" s="1"/>
  <c r="D37" i="4" l="1"/>
  <c r="D7" i="7"/>
  <c r="D8" i="7" s="1"/>
  <c r="D9" i="7" s="1"/>
  <c r="E29" i="7"/>
  <c r="F29" i="7" s="1"/>
  <c r="E35" i="4"/>
  <c r="E28" i="7"/>
  <c r="E4" i="7"/>
  <c r="C28" i="7"/>
  <c r="F28" i="7" s="1"/>
  <c r="C8" i="7"/>
  <c r="C37" i="4"/>
  <c r="F4" i="7" l="1"/>
  <c r="E37" i="4"/>
  <c r="E7" i="7"/>
  <c r="C9" i="7"/>
  <c r="E8" i="7" l="1"/>
  <c r="F7" i="7"/>
  <c r="E9" i="7" l="1"/>
  <c r="F8" i="7"/>
  <c r="F9" i="7" s="1"/>
</calcChain>
</file>

<file path=xl/sharedStrings.xml><?xml version="1.0" encoding="utf-8"?>
<sst xmlns="http://schemas.openxmlformats.org/spreadsheetml/2006/main" count="154" uniqueCount="105">
  <si>
    <t>Current Ratio</t>
  </si>
  <si>
    <t>Quick Ratio</t>
  </si>
  <si>
    <t xml:space="preserve">Interest Coverage </t>
  </si>
  <si>
    <t xml:space="preserve">Debt to Equity </t>
  </si>
  <si>
    <t xml:space="preserve">Long-Term-Debt to Equity </t>
  </si>
  <si>
    <t>Long-Term Debt to Tangible Assets</t>
  </si>
  <si>
    <t>EBIT</t>
  </si>
  <si>
    <t>Return on Investments (ROI)</t>
  </si>
  <si>
    <t>ROI</t>
  </si>
  <si>
    <t>Return on Equity (ROE)</t>
  </si>
  <si>
    <t>ROE</t>
  </si>
  <si>
    <t>Indicatori</t>
  </si>
  <si>
    <t>Analisi delle incidenze</t>
  </si>
  <si>
    <t>Anno di partenza</t>
  </si>
  <si>
    <t>Analisi di bilancio per indici</t>
  </si>
  <si>
    <t>Nome Azienda</t>
  </si>
  <si>
    <t>Atena spa</t>
  </si>
  <si>
    <t>Input dati</t>
  </si>
  <si>
    <t>Stato Patrimoniale</t>
  </si>
  <si>
    <t>Conto Economico</t>
  </si>
  <si>
    <t>Analisi</t>
  </si>
  <si>
    <t>Incidenze</t>
  </si>
  <si>
    <t>Valori in €*1.000</t>
  </si>
  <si>
    <t>Conto economico</t>
  </si>
  <si>
    <t>Analisi per indici</t>
  </si>
  <si>
    <t>Media</t>
  </si>
  <si>
    <t>Ricavi vendite Linea A</t>
  </si>
  <si>
    <t>Ricavi vendite Linea C</t>
  </si>
  <si>
    <t>Ricavi vendite Linea B</t>
  </si>
  <si>
    <t>Margine di Contribuzione</t>
  </si>
  <si>
    <t>Totale Costi Operativi</t>
  </si>
  <si>
    <t>Margine di Contribuzione %</t>
  </si>
  <si>
    <t>EBIT %</t>
  </si>
  <si>
    <t>EBT</t>
  </si>
  <si>
    <t>EBT %</t>
  </si>
  <si>
    <t>Risultato Netto</t>
  </si>
  <si>
    <t>Risultato Netto %</t>
  </si>
  <si>
    <t>Resi, Sconti, Premi</t>
  </si>
  <si>
    <t>Costo del Venduto per Materiali e Lavorazioni</t>
  </si>
  <si>
    <t>Ricavi Netti</t>
  </si>
  <si>
    <t>Manutenzioni Industriali</t>
  </si>
  <si>
    <t>Assicurazioni</t>
  </si>
  <si>
    <t>Utensileria</t>
  </si>
  <si>
    <t>Stipendi Personale G&amp;A</t>
  </si>
  <si>
    <t>Affitti Passivi</t>
  </si>
  <si>
    <t>Leasing</t>
  </si>
  <si>
    <t>Pubblcità e Fiere</t>
  </si>
  <si>
    <t>Viaggi e Trasferte</t>
  </si>
  <si>
    <t>Ammortamenti</t>
  </si>
  <si>
    <t>Altri costi G&amp;A</t>
  </si>
  <si>
    <t>Costi Bancari</t>
  </si>
  <si>
    <t>Imposte</t>
  </si>
  <si>
    <t>Attivo</t>
  </si>
  <si>
    <t>Attivo corrente</t>
  </si>
  <si>
    <t>Banche attive e Cassa</t>
  </si>
  <si>
    <t>Rimanenze</t>
  </si>
  <si>
    <t>Crediti Commerciali Netti</t>
  </si>
  <si>
    <t>Ratei emRisconti Attivi</t>
  </si>
  <si>
    <t>Totale Attivo Corrente</t>
  </si>
  <si>
    <t>Macchinari e Impianti</t>
  </si>
  <si>
    <t>Immobilizzazioni Immateriali</t>
  </si>
  <si>
    <t>Immobilizzazioni Finanziarie</t>
  </si>
  <si>
    <t>Altre Immobilizzazioni</t>
  </si>
  <si>
    <t>Automezzi</t>
  </si>
  <si>
    <t>Totale Attivo</t>
  </si>
  <si>
    <t>Immobilizzazioni</t>
  </si>
  <si>
    <t>Totale Immobilizzazioni</t>
  </si>
  <si>
    <t>Debiti</t>
  </si>
  <si>
    <t>Debiti a Breve</t>
  </si>
  <si>
    <t>Debiti V/Fornitori</t>
  </si>
  <si>
    <t>Altri Debiti</t>
  </si>
  <si>
    <t>Totale Debiti a Breve</t>
  </si>
  <si>
    <t>Debiti a Lungo</t>
  </si>
  <si>
    <t>Totale Debiti</t>
  </si>
  <si>
    <t>Patrimonio Netto</t>
  </si>
  <si>
    <t xml:space="preserve">Capitale Sociale </t>
  </si>
  <si>
    <t>Riserve e Risultato d'esercizio</t>
  </si>
  <si>
    <t>Totale Patrimonio Netto</t>
  </si>
  <si>
    <t>Fondo TFR</t>
  </si>
  <si>
    <t>Controllo</t>
  </si>
  <si>
    <t>Return on Assets (ROA)</t>
  </si>
  <si>
    <t>Leverage Finanziario</t>
  </si>
  <si>
    <t>Return on Sales (ROS)</t>
  </si>
  <si>
    <t>Turnover Investimenti</t>
  </si>
  <si>
    <t>Redditività</t>
  </si>
  <si>
    <t>Margine Operativo</t>
  </si>
  <si>
    <t>EBIT (Margine Operativo)</t>
  </si>
  <si>
    <t>Interessi / Ricavi</t>
  </si>
  <si>
    <t>Incidenza Imposte Effettiva</t>
  </si>
  <si>
    <t>Turnover dell'Attivo</t>
  </si>
  <si>
    <t>Rotazione dei Crediti</t>
  </si>
  <si>
    <t>Rotazione Magazzino</t>
  </si>
  <si>
    <t>Rotazione Debiti</t>
  </si>
  <si>
    <t>Turnover Investimenti,</t>
  </si>
  <si>
    <t>Rotazione in Giorni</t>
  </si>
  <si>
    <t>Giorni Riscossione</t>
  </si>
  <si>
    <t>Giorni Giacenza</t>
  </si>
  <si>
    <t>Giorni Pagamento</t>
  </si>
  <si>
    <t>Giorni Ciclo Monetario Netto</t>
  </si>
  <si>
    <t>Analisi Liquidità</t>
  </si>
  <si>
    <t>Altri dati di analisi</t>
  </si>
  <si>
    <t>Crescita dei Ricavi</t>
  </si>
  <si>
    <t>Acquisti</t>
  </si>
  <si>
    <t>VERIFICA</t>
  </si>
  <si>
    <t>Totale Debiti e 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</si>
</sst>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(#,##0\)_-;_-* &quot;-&quot;_-;_-@_-"/>
    <numFmt numFmtId="167" formatCode="_(* #,##0.0_);_(* \(#,##0.0\);_(* &quot;-&quot;??_);_(@_)"/>
    <numFmt numFmtId="168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FF"/>
      <name val="Arial Narrow"/>
      <family val="2"/>
    </font>
    <font>
      <sz val="8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4"/>
      <color theme="0"/>
      <name val="Arial Narrow"/>
      <family val="2"/>
    </font>
    <font>
      <sz val="9"/>
      <color theme="0"/>
      <name val="Arial Narrow"/>
      <family val="2"/>
    </font>
    <font>
      <sz val="10"/>
      <color rgb="FF3333FF"/>
      <name val="Arial Narrow"/>
      <family val="2"/>
    </font>
    <font>
      <b/>
      <u/>
      <sz val="10"/>
      <color theme="1"/>
      <name val="Arial Narrow"/>
      <family val="2"/>
    </font>
    <font>
      <sz val="11"/>
      <name val="Arial Narrow"/>
      <family val="2"/>
    </font>
    <font>
      <i/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22"/>
      <color theme="0"/>
      <name val="Arial Narrow"/>
      <family val="2"/>
    </font>
    <font>
      <b/>
      <sz val="11"/>
      <color theme="0"/>
      <name val="Arial Narrow"/>
      <family val="2"/>
    </font>
    <font>
      <u/>
      <sz val="11"/>
      <color theme="0"/>
      <name val="Arial Narrow"/>
      <family val="2"/>
    </font>
    <font>
      <b/>
      <sz val="14"/>
      <color theme="0"/>
      <name val="Arial Narrow"/>
      <family val="2"/>
    </font>
    <font>
      <u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i/>
      <sz val="10"/>
      <color theme="1"/>
      <name val="Arial Narrow"/>
      <family val="2"/>
    </font>
    <font>
      <i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shrinkToFit="1"/>
    </xf>
    <xf numFmtId="0" fontId="2" fillId="0" borderId="0" xfId="0" applyFont="1"/>
    <xf numFmtId="165" fontId="12" fillId="0" borderId="0" xfId="6" applyNumberFormat="1" applyFont="1"/>
    <xf numFmtId="165" fontId="13" fillId="0" borderId="0" xfId="6" applyNumberFormat="1" applyFont="1"/>
    <xf numFmtId="165" fontId="13" fillId="0" borderId="0" xfId="6" applyNumberFormat="1" applyFont="1" applyAlignment="1">
      <alignment horizontal="left" indent="2"/>
    </xf>
    <xf numFmtId="165" fontId="13" fillId="0" borderId="2" xfId="6" applyNumberFormat="1" applyFont="1" applyBorder="1" applyAlignment="1">
      <alignment horizontal="left" indent="2"/>
    </xf>
    <xf numFmtId="165" fontId="13" fillId="0" borderId="0" xfId="6" applyNumberFormat="1" applyFont="1" applyAlignment="1">
      <alignment horizontal="left" indent="1"/>
    </xf>
    <xf numFmtId="165" fontId="12" fillId="0" borderId="4" xfId="6" applyNumberFormat="1" applyFont="1" applyBorder="1"/>
    <xf numFmtId="165" fontId="12" fillId="0" borderId="0" xfId="6" applyNumberFormat="1" applyFont="1" applyBorder="1"/>
    <xf numFmtId="165" fontId="12" fillId="0" borderId="1" xfId="6" applyNumberFormat="1" applyFont="1" applyBorder="1"/>
    <xf numFmtId="165" fontId="12" fillId="0" borderId="3" xfId="6" applyNumberFormat="1" applyFont="1" applyBorder="1"/>
    <xf numFmtId="165" fontId="14" fillId="0" borderId="0" xfId="6" applyNumberFormat="1" applyFont="1"/>
    <xf numFmtId="0" fontId="13" fillId="0" borderId="0" xfId="0" applyFont="1"/>
    <xf numFmtId="0" fontId="12" fillId="0" borderId="1" xfId="0" applyFont="1" applyBorder="1"/>
    <xf numFmtId="0" fontId="12" fillId="0" borderId="0" xfId="0" applyFont="1" applyBorder="1"/>
    <xf numFmtId="0" fontId="12" fillId="0" borderId="0" xfId="0" applyFont="1"/>
    <xf numFmtId="0" fontId="13" fillId="0" borderId="1" xfId="0" applyFont="1" applyBorder="1"/>
    <xf numFmtId="0" fontId="13" fillId="0" borderId="0" xfId="0" applyFont="1" applyBorder="1"/>
    <xf numFmtId="164" fontId="13" fillId="0" borderId="0" xfId="0" applyNumberFormat="1" applyFont="1" applyBorder="1"/>
    <xf numFmtId="0" fontId="18" fillId="0" borderId="0" xfId="0" applyFont="1" applyBorder="1"/>
    <xf numFmtId="0" fontId="9" fillId="0" borderId="0" xfId="0" applyFont="1" applyBorder="1"/>
    <xf numFmtId="167" fontId="9" fillId="0" borderId="0" xfId="1" applyNumberFormat="1" applyFont="1" applyBorder="1"/>
    <xf numFmtId="0" fontId="9" fillId="0" borderId="0" xfId="0" applyFont="1"/>
    <xf numFmtId="0" fontId="19" fillId="0" borderId="0" xfId="0" applyFont="1"/>
    <xf numFmtId="167" fontId="9" fillId="0" borderId="0" xfId="1" quotePrefix="1" applyNumberFormat="1" applyFont="1" applyBorder="1"/>
    <xf numFmtId="0" fontId="18" fillId="0" borderId="0" xfId="0" applyFont="1"/>
    <xf numFmtId="168" fontId="8" fillId="0" borderId="0" xfId="2" applyNumberFormat="1" applyFont="1" applyBorder="1"/>
    <xf numFmtId="168" fontId="17" fillId="0" borderId="0" xfId="1" applyNumberFormat="1" applyFont="1" applyBorder="1"/>
    <xf numFmtId="168" fontId="13" fillId="0" borderId="0" xfId="2" applyNumberFormat="1" applyFont="1" applyBorder="1"/>
    <xf numFmtId="168" fontId="9" fillId="0" borderId="0" xfId="2" applyNumberFormat="1" applyFont="1" applyBorder="1"/>
    <xf numFmtId="168" fontId="13" fillId="0" borderId="0" xfId="1" applyNumberFormat="1" applyFont="1" applyBorder="1"/>
    <xf numFmtId="168" fontId="12" fillId="0" borderId="0" xfId="1" applyNumberFormat="1" applyFont="1" applyBorder="1"/>
    <xf numFmtId="168" fontId="12" fillId="0" borderId="0" xfId="2" applyNumberFormat="1" applyFont="1" applyBorder="1"/>
    <xf numFmtId="168" fontId="9" fillId="0" borderId="0" xfId="1" applyNumberFormat="1" applyFont="1" applyBorder="1"/>
    <xf numFmtId="168" fontId="8" fillId="0" borderId="0" xfId="1" applyNumberFormat="1" applyFont="1" applyBorder="1"/>
    <xf numFmtId="168" fontId="9" fillId="0" borderId="0" xfId="0" applyNumberFormat="1" applyFont="1"/>
    <xf numFmtId="167" fontId="9" fillId="0" borderId="0" xfId="1" applyNumberFormat="1" applyFont="1"/>
    <xf numFmtId="0" fontId="13" fillId="0" borderId="2" xfId="0" applyFont="1" applyBorder="1"/>
    <xf numFmtId="167" fontId="13" fillId="0" borderId="2" xfId="1" applyNumberFormat="1" applyFont="1" applyBorder="1"/>
    <xf numFmtId="0" fontId="20" fillId="0" borderId="0" xfId="0" applyFont="1" applyBorder="1" applyAlignment="1">
      <alignment horizontal="right"/>
    </xf>
    <xf numFmtId="168" fontId="21" fillId="0" borderId="0" xfId="1" applyNumberFormat="1" applyFont="1" applyBorder="1"/>
    <xf numFmtId="0" fontId="7" fillId="0" borderId="0" xfId="3" applyFont="1" applyFill="1" applyBorder="1"/>
    <xf numFmtId="0" fontId="13" fillId="0" borderId="0" xfId="0" applyFont="1" applyFill="1" applyBorder="1"/>
    <xf numFmtId="0" fontId="7" fillId="2" borderId="0" xfId="3" applyFont="1" applyFill="1" applyBorder="1"/>
    <xf numFmtId="0" fontId="22" fillId="3" borderId="0" xfId="3" applyFont="1" applyFill="1" applyBorder="1" applyProtection="1">
      <protection locked="0"/>
    </xf>
    <xf numFmtId="0" fontId="6" fillId="3" borderId="0" xfId="3" applyFont="1" applyFill="1" applyBorder="1"/>
    <xf numFmtId="0" fontId="6" fillId="3" borderId="0" xfId="0" applyFont="1" applyFill="1"/>
    <xf numFmtId="0" fontId="6" fillId="3" borderId="0" xfId="3" applyFont="1" applyFill="1" applyBorder="1" applyProtection="1">
      <protection locked="0"/>
    </xf>
    <xf numFmtId="0" fontId="23" fillId="3" borderId="0" xfId="3" applyFont="1" applyFill="1" applyBorder="1" applyAlignment="1">
      <alignment horizontal="right"/>
    </xf>
    <xf numFmtId="0" fontId="23" fillId="3" borderId="0" xfId="3" applyFont="1" applyFill="1" applyBorder="1" applyProtection="1">
      <protection locked="0"/>
    </xf>
    <xf numFmtId="0" fontId="24" fillId="3" borderId="0" xfId="4" quotePrefix="1" applyFont="1" applyFill="1" applyBorder="1" applyProtection="1">
      <protection locked="0"/>
    </xf>
    <xf numFmtId="0" fontId="26" fillId="3" borderId="1" xfId="4" quotePrefix="1" applyFont="1" applyFill="1" applyBorder="1" applyProtection="1">
      <protection locked="0"/>
    </xf>
    <xf numFmtId="0" fontId="26" fillId="3" borderId="0" xfId="4" quotePrefix="1" applyFont="1" applyFill="1" applyBorder="1" applyProtection="1">
      <protection locked="0"/>
    </xf>
    <xf numFmtId="0" fontId="26" fillId="3" borderId="0" xfId="4" applyFont="1" applyFill="1" applyBorder="1"/>
    <xf numFmtId="0" fontId="26" fillId="3" borderId="0" xfId="4" applyFont="1" applyFill="1"/>
    <xf numFmtId="0" fontId="15" fillId="3" borderId="0" xfId="3" applyFont="1" applyFill="1"/>
    <xf numFmtId="0" fontId="7" fillId="3" borderId="0" xfId="3" applyFont="1" applyFill="1"/>
    <xf numFmtId="0" fontId="11" fillId="3" borderId="0" xfId="3" applyFont="1" applyFill="1" applyAlignment="1">
      <alignment horizontal="right"/>
    </xf>
    <xf numFmtId="0" fontId="6" fillId="3" borderId="0" xfId="3" applyFont="1" applyFill="1"/>
    <xf numFmtId="0" fontId="16" fillId="3" borderId="0" xfId="3" applyFont="1" applyFill="1"/>
    <xf numFmtId="165" fontId="12" fillId="4" borderId="0" xfId="6" applyNumberFormat="1" applyFont="1" applyFill="1"/>
    <xf numFmtId="165" fontId="10" fillId="4" borderId="0" xfId="6" applyNumberFormat="1" applyFont="1" applyFill="1"/>
    <xf numFmtId="0" fontId="27" fillId="3" borderId="0" xfId="3" applyFont="1" applyFill="1" applyAlignment="1">
      <alignment horizontal="center"/>
    </xf>
    <xf numFmtId="0" fontId="12" fillId="0" borderId="0" xfId="0" applyFont="1" applyAlignment="1">
      <alignment horizontal="center"/>
    </xf>
    <xf numFmtId="0" fontId="27" fillId="3" borderId="0" xfId="3" applyFont="1" applyFill="1"/>
    <xf numFmtId="0" fontId="3" fillId="0" borderId="0" xfId="0" applyFont="1"/>
    <xf numFmtId="165" fontId="13" fillId="0" borderId="0" xfId="0" applyNumberFormat="1" applyFont="1"/>
    <xf numFmtId="165" fontId="7" fillId="3" borderId="0" xfId="3" applyNumberFormat="1" applyFont="1" applyFill="1"/>
    <xf numFmtId="9" fontId="2" fillId="0" borderId="0" xfId="2" applyFont="1"/>
    <xf numFmtId="0" fontId="2" fillId="0" borderId="0" xfId="0" applyFont="1" applyBorder="1"/>
    <xf numFmtId="0" fontId="29" fillId="0" borderId="0" xfId="0" applyFont="1" applyBorder="1"/>
    <xf numFmtId="9" fontId="7" fillId="0" borderId="0" xfId="2" applyFont="1" applyFill="1" applyBorder="1"/>
    <xf numFmtId="9" fontId="7" fillId="2" borderId="0" xfId="2" applyFont="1" applyFill="1" applyBorder="1"/>
    <xf numFmtId="9" fontId="10" fillId="0" borderId="0" xfId="2" applyFont="1"/>
    <xf numFmtId="9" fontId="9" fillId="0" borderId="0" xfId="2" applyFont="1" applyBorder="1"/>
    <xf numFmtId="9" fontId="9" fillId="0" borderId="2" xfId="2" applyFont="1" applyBorder="1"/>
    <xf numFmtId="9" fontId="9" fillId="0" borderId="0" xfId="2" applyFont="1"/>
    <xf numFmtId="9" fontId="8" fillId="0" borderId="4" xfId="2" applyFont="1" applyBorder="1"/>
    <xf numFmtId="9" fontId="8" fillId="0" borderId="0" xfId="2" applyFont="1" applyBorder="1"/>
    <xf numFmtId="9" fontId="8" fillId="0" borderId="3" xfId="2" applyFont="1" applyBorder="1"/>
    <xf numFmtId="9" fontId="9" fillId="2" borderId="0" xfId="2" applyFont="1" applyFill="1" applyBorder="1"/>
    <xf numFmtId="9" fontId="8" fillId="0" borderId="1" xfId="2" applyFont="1" applyBorder="1"/>
    <xf numFmtId="9" fontId="9" fillId="0" borderId="1" xfId="2" applyFont="1" applyBorder="1"/>
    <xf numFmtId="0" fontId="25" fillId="3" borderId="5" xfId="3" applyFont="1" applyFill="1" applyBorder="1" applyAlignment="1" applyProtection="1">
      <alignment horizontal="center"/>
      <protection locked="0"/>
    </xf>
    <xf numFmtId="0" fontId="23" fillId="3" borderId="5" xfId="3" applyFont="1" applyFill="1" applyBorder="1" applyAlignment="1" applyProtection="1">
      <alignment horizontal="center"/>
      <protection locked="0"/>
    </xf>
    <xf numFmtId="165" fontId="13" fillId="0" borderId="0" xfId="6" applyNumberFormat="1" applyFont="1" applyProtection="1">
      <protection locked="0"/>
    </xf>
    <xf numFmtId="165" fontId="10" fillId="0" borderId="0" xfId="6" applyNumberFormat="1" applyFont="1" applyProtection="1">
      <protection locked="0"/>
    </xf>
    <xf numFmtId="165" fontId="13" fillId="0" borderId="0" xfId="6" applyNumberFormat="1" applyFont="1" applyAlignment="1" applyProtection="1">
      <alignment horizontal="left" indent="2"/>
      <protection locked="0"/>
    </xf>
    <xf numFmtId="165" fontId="13" fillId="0" borderId="2" xfId="6" applyNumberFormat="1" applyFont="1" applyBorder="1" applyAlignment="1" applyProtection="1">
      <alignment horizontal="left" indent="2"/>
      <protection locked="0"/>
    </xf>
    <xf numFmtId="165" fontId="13" fillId="0" borderId="2" xfId="6" applyNumberFormat="1" applyFont="1" applyBorder="1" applyProtection="1">
      <protection locked="0"/>
    </xf>
    <xf numFmtId="165" fontId="12" fillId="6" borderId="0" xfId="6" applyNumberFormat="1" applyFont="1" applyFill="1" applyAlignment="1" applyProtection="1">
      <alignment horizontal="left" indent="2"/>
      <protection locked="0"/>
    </xf>
    <xf numFmtId="165" fontId="12" fillId="6" borderId="0" xfId="6" applyNumberFormat="1" applyFont="1" applyFill="1" applyProtection="1">
      <protection locked="0"/>
    </xf>
    <xf numFmtId="165" fontId="13" fillId="0" borderId="0" xfId="6" applyNumberFormat="1" applyFont="1" applyAlignment="1" applyProtection="1">
      <alignment horizontal="left" indent="1"/>
      <protection locked="0"/>
    </xf>
    <xf numFmtId="165" fontId="12" fillId="5" borderId="4" xfId="6" applyNumberFormat="1" applyFont="1" applyFill="1" applyBorder="1" applyProtection="1">
      <protection locked="0"/>
    </xf>
    <xf numFmtId="165" fontId="12" fillId="0" borderId="0" xfId="6" applyNumberFormat="1" applyFont="1" applyBorder="1" applyProtection="1">
      <protection locked="0"/>
    </xf>
    <xf numFmtId="165" fontId="12" fillId="4" borderId="0" xfId="6" applyNumberFormat="1" applyFont="1" applyFill="1" applyProtection="1">
      <protection locked="0"/>
    </xf>
    <xf numFmtId="165" fontId="13" fillId="4" borderId="0" xfId="6" applyNumberFormat="1" applyFont="1" applyFill="1" applyProtection="1">
      <protection locked="0"/>
    </xf>
    <xf numFmtId="165" fontId="13" fillId="0" borderId="0" xfId="6" applyNumberFormat="1" applyFont="1" applyFill="1" applyProtection="1">
      <protection locked="0"/>
    </xf>
    <xf numFmtId="165" fontId="12" fillId="4" borderId="1" xfId="6" applyNumberFormat="1" applyFont="1" applyFill="1" applyBorder="1" applyProtection="1">
      <protection locked="0"/>
    </xf>
    <xf numFmtId="165" fontId="12" fillId="4" borderId="3" xfId="6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167" fontId="13" fillId="0" borderId="0" xfId="1" applyNumberFormat="1" applyFont="1" applyProtection="1">
      <protection locked="0"/>
    </xf>
    <xf numFmtId="0" fontId="12" fillId="4" borderId="1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167" fontId="12" fillId="0" borderId="0" xfId="1" applyNumberFormat="1" applyFont="1" applyBorder="1" applyProtection="1">
      <protection locked="0"/>
    </xf>
    <xf numFmtId="0" fontId="28" fillId="4" borderId="0" xfId="0" applyFont="1" applyFill="1" applyBorder="1" applyProtection="1">
      <protection locked="0"/>
    </xf>
    <xf numFmtId="9" fontId="13" fillId="0" borderId="0" xfId="2" applyFont="1" applyProtection="1">
      <protection locked="0"/>
    </xf>
    <xf numFmtId="0" fontId="13" fillId="7" borderId="1" xfId="0" applyFont="1" applyFill="1" applyBorder="1" applyProtection="1">
      <protection locked="0"/>
    </xf>
    <xf numFmtId="0" fontId="12" fillId="4" borderId="0" xfId="0" applyFont="1" applyFill="1" applyBorder="1" applyProtection="1">
      <protection locked="0"/>
    </xf>
    <xf numFmtId="167" fontId="13" fillId="7" borderId="1" xfId="1" applyNumberFormat="1" applyFont="1" applyFill="1" applyBorder="1" applyProtection="1"/>
    <xf numFmtId="167" fontId="12" fillId="4" borderId="1" xfId="1" applyNumberFormat="1" applyFont="1" applyFill="1" applyBorder="1" applyProtection="1"/>
    <xf numFmtId="9" fontId="28" fillId="4" borderId="0" xfId="2" applyFont="1" applyFill="1" applyBorder="1" applyProtection="1"/>
    <xf numFmtId="9" fontId="13" fillId="0" borderId="0" xfId="2" applyFont="1" applyProtection="1"/>
    <xf numFmtId="167" fontId="12" fillId="0" borderId="0" xfId="1" applyNumberFormat="1" applyFont="1" applyBorder="1" applyProtection="1"/>
  </cellXfs>
  <cellStyles count="10">
    <cellStyle name="Collegamento ipertestuale" xfId="4" builtinId="8"/>
    <cellStyle name="Comma 2" xfId="6" xr:uid="{00000000-0005-0000-0000-000001000000}"/>
    <cellStyle name="Hyperlink 2" xfId="5" xr:uid="{00000000-0005-0000-0000-000003000000}"/>
    <cellStyle name="Hyperlink 2 2" xfId="9" xr:uid="{00000000-0005-0000-0000-000004000000}"/>
    <cellStyle name="Hyperlink 3" xfId="7" xr:uid="{00000000-0005-0000-0000-000005000000}"/>
    <cellStyle name="Migliaia" xfId="1" builtinId="3"/>
    <cellStyle name="Normal 2" xfId="3" xr:uid="{00000000-0005-0000-0000-000007000000}"/>
    <cellStyle name="Normal 2 2 2" xfId="8" xr:uid="{00000000-0005-0000-0000-000008000000}"/>
    <cellStyle name="Normale" xfId="0" builtinId="0"/>
    <cellStyle name="Percentual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8FF2-1369-418C-AF81-5C09A1FC4A7A}">
  <sheetPr>
    <tabColor theme="8" tint="-0.499984740745262"/>
    <pageSetUpPr fitToPage="1"/>
  </sheetPr>
  <dimension ref="A1:M12"/>
  <sheetViews>
    <sheetView tabSelected="1" zoomScale="205" zoomScaleNormal="205" workbookViewId="0">
      <selection activeCell="B3" sqref="B3:D4"/>
    </sheetView>
  </sheetViews>
  <sheetFormatPr defaultRowHeight="16.5" x14ac:dyDescent="0.3"/>
  <cols>
    <col min="1" max="1" width="15.140625" style="47" customWidth="1"/>
    <col min="2" max="16384" width="9.140625" style="47"/>
  </cols>
  <sheetData>
    <row r="1" spans="1:13" ht="27" x14ac:dyDescent="0.35">
      <c r="A1" s="45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.75" x14ac:dyDescent="0.3">
      <c r="A3" s="47" t="s">
        <v>15</v>
      </c>
      <c r="B3" s="84" t="s">
        <v>16</v>
      </c>
      <c r="C3" s="84"/>
      <c r="D3" s="84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3">
      <c r="A4" s="48" t="s">
        <v>13</v>
      </c>
      <c r="B4" s="85">
        <v>2016</v>
      </c>
      <c r="C4" s="85"/>
      <c r="D4" s="85"/>
      <c r="E4" s="46"/>
      <c r="F4" s="46"/>
      <c r="G4" s="46"/>
      <c r="H4" s="46"/>
      <c r="I4" s="46"/>
      <c r="J4" s="46"/>
      <c r="K4" s="46"/>
      <c r="L4" s="49"/>
      <c r="M4" s="46"/>
    </row>
    <row r="5" spans="1:13" x14ac:dyDescent="0.3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x14ac:dyDescent="0.3">
      <c r="A6" s="50" t="s">
        <v>17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x14ac:dyDescent="0.3">
      <c r="A7" s="52" t="s">
        <v>18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x14ac:dyDescent="0.3">
      <c r="A8" s="53" t="s">
        <v>19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x14ac:dyDescent="0.3">
      <c r="A9" s="5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x14ac:dyDescent="0.3">
      <c r="A10" s="50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3">
      <c r="A11" s="54" t="s">
        <v>11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x14ac:dyDescent="0.3">
      <c r="A12" s="55" t="s">
        <v>21</v>
      </c>
    </row>
  </sheetData>
  <sheetProtection sheet="1" objects="1" scenarios="1"/>
  <mergeCells count="2">
    <mergeCell ref="B3:D3"/>
    <mergeCell ref="B4:D4"/>
  </mergeCells>
  <hyperlinks>
    <hyperlink ref="A7" location="'Stato Patrimoniale'!A1" display="Stato Patrimoniale" xr:uid="{75450D42-7516-4D48-8C11-A48CC209BE69}"/>
    <hyperlink ref="A8" location="'Conto Economico'!A1" display="Conto Economico" xr:uid="{4F0C72A9-466E-47EC-BE23-6D3AE7908752}"/>
    <hyperlink ref="A11" location="Indicatori!A1" display="Indicatori" xr:uid="{02119F80-5B07-49AF-BE03-411CF860776B}"/>
    <hyperlink ref="A12" location="'Common size analysis'!A1" display="Incidenze" xr:uid="{622AD9CE-9294-46F8-B952-F917DFB55555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E39"/>
  <sheetViews>
    <sheetView showGridLines="0" zoomScaleNormal="100" workbookViewId="0">
      <pane ySplit="3" topLeftCell="A4" activePane="bottomLeft" state="frozen"/>
      <selection pane="bottomLeft" activeCell="A5" sqref="A5:E35"/>
    </sheetView>
  </sheetViews>
  <sheetFormatPr defaultColWidth="9.140625" defaultRowHeight="12.75" x14ac:dyDescent="0.2"/>
  <cols>
    <col min="1" max="1" width="57.5703125" style="13" customWidth="1"/>
    <col min="2" max="5" width="17.85546875" style="13" customWidth="1"/>
    <col min="6" max="16384" width="9.140625" style="13"/>
  </cols>
  <sheetData>
    <row r="1" spans="1:5" ht="18" x14ac:dyDescent="0.25">
      <c r="A1" s="56" t="str">
        <f>INDEX!B3</f>
        <v>Atena spa</v>
      </c>
      <c r="B1" s="57"/>
      <c r="C1" s="57"/>
      <c r="D1" s="57"/>
      <c r="E1" s="58"/>
    </row>
    <row r="2" spans="1:5" ht="16.5" x14ac:dyDescent="0.3">
      <c r="A2" s="59" t="s">
        <v>18</v>
      </c>
      <c r="B2" s="57"/>
      <c r="C2" s="57"/>
      <c r="D2" s="57"/>
      <c r="E2" s="57"/>
    </row>
    <row r="3" spans="1:5" s="64" customFormat="1" x14ac:dyDescent="0.2">
      <c r="A3" s="63"/>
      <c r="B3" s="63">
        <f>+INDEX!B4</f>
        <v>2016</v>
      </c>
      <c r="C3" s="63">
        <f>+B3+1</f>
        <v>2017</v>
      </c>
      <c r="D3" s="63">
        <f>+C3+1</f>
        <v>2018</v>
      </c>
      <c r="E3" s="63">
        <f>+D3+1</f>
        <v>2019</v>
      </c>
    </row>
    <row r="4" spans="1:5" x14ac:dyDescent="0.2">
      <c r="A4" s="61" t="s">
        <v>52</v>
      </c>
      <c r="B4" s="62"/>
      <c r="C4" s="62"/>
      <c r="D4" s="62"/>
      <c r="E4" s="62"/>
    </row>
    <row r="5" spans="1:5" x14ac:dyDescent="0.2">
      <c r="A5" s="86" t="s">
        <v>53</v>
      </c>
      <c r="B5" s="87"/>
      <c r="C5" s="87"/>
      <c r="D5" s="87"/>
      <c r="E5" s="87"/>
    </row>
    <row r="6" spans="1:5" x14ac:dyDescent="0.2">
      <c r="A6" s="88" t="s">
        <v>54</v>
      </c>
      <c r="B6" s="86">
        <v>4860</v>
      </c>
      <c r="C6" s="86">
        <v>5880</v>
      </c>
      <c r="D6" s="86">
        <v>4536</v>
      </c>
      <c r="E6" s="86">
        <v>8232</v>
      </c>
    </row>
    <row r="7" spans="1:5" x14ac:dyDescent="0.2">
      <c r="A7" s="88" t="s">
        <v>55</v>
      </c>
      <c r="B7" s="86">
        <v>27180</v>
      </c>
      <c r="C7" s="86">
        <v>29232</v>
      </c>
      <c r="D7" s="86">
        <v>29862</v>
      </c>
      <c r="E7" s="86">
        <v>28056</v>
      </c>
    </row>
    <row r="8" spans="1:5" x14ac:dyDescent="0.2">
      <c r="A8" s="88" t="s">
        <v>56</v>
      </c>
      <c r="B8" s="86">
        <v>45900</v>
      </c>
      <c r="C8" s="86">
        <v>50904</v>
      </c>
      <c r="D8" s="86">
        <v>60385.5</v>
      </c>
      <c r="E8" s="86">
        <v>61236</v>
      </c>
    </row>
    <row r="9" spans="1:5" x14ac:dyDescent="0.2">
      <c r="A9" s="89" t="s">
        <v>57</v>
      </c>
      <c r="B9" s="90">
        <v>13140</v>
      </c>
      <c r="C9" s="90">
        <v>8064.0000000000018</v>
      </c>
      <c r="D9" s="90">
        <v>18710.999999999996</v>
      </c>
      <c r="E9" s="90">
        <v>10751.999999999996</v>
      </c>
    </row>
    <row r="10" spans="1:5" s="16" customFormat="1" x14ac:dyDescent="0.2">
      <c r="A10" s="91" t="s">
        <v>58</v>
      </c>
      <c r="B10" s="92">
        <f>SUM(B6:B9)</f>
        <v>91080</v>
      </c>
      <c r="C10" s="92">
        <f>SUM(C6:C9)</f>
        <v>94080</v>
      </c>
      <c r="D10" s="92">
        <f>SUM(D6:D9)</f>
        <v>113494.5</v>
      </c>
      <c r="E10" s="92">
        <f>SUM(E6:E9)</f>
        <v>108276</v>
      </c>
    </row>
    <row r="11" spans="1:5" x14ac:dyDescent="0.2">
      <c r="A11" s="93"/>
      <c r="B11" s="86"/>
      <c r="C11" s="86"/>
      <c r="D11" s="86"/>
      <c r="E11" s="86"/>
    </row>
    <row r="12" spans="1:5" x14ac:dyDescent="0.2">
      <c r="A12" s="86" t="s">
        <v>65</v>
      </c>
      <c r="B12" s="86"/>
      <c r="C12" s="86"/>
      <c r="D12" s="86"/>
      <c r="E12" s="86"/>
    </row>
    <row r="13" spans="1:5" x14ac:dyDescent="0.2">
      <c r="A13" s="93" t="s">
        <v>59</v>
      </c>
      <c r="B13" s="86">
        <v>17766</v>
      </c>
      <c r="C13" s="86">
        <v>14400</v>
      </c>
      <c r="D13" s="86">
        <v>15498</v>
      </c>
      <c r="E13" s="86">
        <v>13320</v>
      </c>
    </row>
    <row r="14" spans="1:5" x14ac:dyDescent="0.2">
      <c r="A14" s="93" t="s">
        <v>63</v>
      </c>
      <c r="B14" s="86">
        <v>6615</v>
      </c>
      <c r="C14" s="86">
        <v>6300</v>
      </c>
      <c r="D14" s="86">
        <v>5670</v>
      </c>
      <c r="E14" s="86">
        <v>23400</v>
      </c>
    </row>
    <row r="15" spans="1:5" x14ac:dyDescent="0.2">
      <c r="A15" s="93" t="s">
        <v>60</v>
      </c>
      <c r="B15" s="86">
        <v>7182</v>
      </c>
      <c r="C15" s="86">
        <v>4500</v>
      </c>
      <c r="D15" s="86">
        <v>3591.0000000000041</v>
      </c>
      <c r="E15" s="86">
        <v>3059.9999999999986</v>
      </c>
    </row>
    <row r="16" spans="1:5" x14ac:dyDescent="0.2">
      <c r="A16" s="93" t="s">
        <v>61</v>
      </c>
      <c r="B16" s="86">
        <v>62370</v>
      </c>
      <c r="C16" s="86">
        <v>62370</v>
      </c>
      <c r="D16" s="86">
        <v>62370</v>
      </c>
      <c r="E16" s="86">
        <v>62370</v>
      </c>
    </row>
    <row r="17" spans="1:5" x14ac:dyDescent="0.2">
      <c r="A17" s="93" t="s">
        <v>62</v>
      </c>
      <c r="B17" s="86">
        <v>756</v>
      </c>
      <c r="C17" s="86">
        <v>27000</v>
      </c>
      <c r="D17" s="86">
        <v>27783</v>
      </c>
      <c r="E17" s="86">
        <v>9359.9999999999982</v>
      </c>
    </row>
    <row r="18" spans="1:5" s="16" customFormat="1" x14ac:dyDescent="0.2">
      <c r="A18" s="91" t="s">
        <v>66</v>
      </c>
      <c r="B18" s="92">
        <f>SUM(B13:B17)</f>
        <v>94689</v>
      </c>
      <c r="C18" s="92">
        <f>SUM(C13:C17)</f>
        <v>114570</v>
      </c>
      <c r="D18" s="92">
        <f>SUM(D13:D17)</f>
        <v>114912</v>
      </c>
      <c r="E18" s="92">
        <f>SUM(E13:E17)</f>
        <v>111510</v>
      </c>
    </row>
    <row r="19" spans="1:5" ht="13.5" thickBot="1" x14ac:dyDescent="0.25">
      <c r="A19" s="94" t="s">
        <v>64</v>
      </c>
      <c r="B19" s="94">
        <f>+B18+B10</f>
        <v>185769</v>
      </c>
      <c r="C19" s="94">
        <f>+C18+C10</f>
        <v>208650</v>
      </c>
      <c r="D19" s="94">
        <f>+D18+D10</f>
        <v>228406.5</v>
      </c>
      <c r="E19" s="94">
        <f>+E18+E10</f>
        <v>219786</v>
      </c>
    </row>
    <row r="20" spans="1:5" ht="13.5" thickTop="1" x14ac:dyDescent="0.2">
      <c r="A20" s="95"/>
      <c r="B20" s="95"/>
      <c r="C20" s="95"/>
      <c r="D20" s="95"/>
      <c r="E20" s="95"/>
    </row>
    <row r="21" spans="1:5" x14ac:dyDescent="0.2">
      <c r="A21" s="96" t="s">
        <v>67</v>
      </c>
      <c r="B21" s="97"/>
      <c r="C21" s="97"/>
      <c r="D21" s="97"/>
      <c r="E21" s="97"/>
    </row>
    <row r="22" spans="1:5" x14ac:dyDescent="0.2">
      <c r="A22" s="86" t="s">
        <v>68</v>
      </c>
      <c r="B22" s="86"/>
      <c r="C22" s="86"/>
      <c r="D22" s="86"/>
      <c r="E22" s="86"/>
    </row>
    <row r="23" spans="1:5" x14ac:dyDescent="0.2">
      <c r="A23" s="88" t="s">
        <v>69</v>
      </c>
      <c r="B23" s="98">
        <v>48960</v>
      </c>
      <c r="C23" s="98">
        <v>50347.64</v>
      </c>
      <c r="D23" s="98">
        <v>51739.739999999903</v>
      </c>
      <c r="E23" s="98">
        <v>30597.72</v>
      </c>
    </row>
    <row r="24" spans="1:5" x14ac:dyDescent="0.2">
      <c r="A24" s="89" t="s">
        <v>70</v>
      </c>
      <c r="B24" s="90">
        <v>15200</v>
      </c>
      <c r="C24" s="90">
        <v>12196.8</v>
      </c>
      <c r="D24" s="90">
        <v>15300</v>
      </c>
      <c r="E24" s="90">
        <v>14279.999999999989</v>
      </c>
    </row>
    <row r="25" spans="1:5" s="16" customFormat="1" x14ac:dyDescent="0.2">
      <c r="A25" s="91" t="s">
        <v>71</v>
      </c>
      <c r="B25" s="92">
        <f>SUM(B23:B24)</f>
        <v>64160</v>
      </c>
      <c r="C25" s="92">
        <f t="shared" ref="C25:E25" si="0">SUM(C23:C24)</f>
        <v>62544.44</v>
      </c>
      <c r="D25" s="92">
        <f t="shared" si="0"/>
        <v>67039.739999999903</v>
      </c>
      <c r="E25" s="92">
        <f t="shared" si="0"/>
        <v>44877.719999999987</v>
      </c>
    </row>
    <row r="26" spans="1:5" x14ac:dyDescent="0.2">
      <c r="A26" s="88"/>
      <c r="B26" s="86"/>
      <c r="C26" s="86"/>
      <c r="D26" s="86"/>
      <c r="E26" s="86"/>
    </row>
    <row r="27" spans="1:5" x14ac:dyDescent="0.2">
      <c r="A27" s="86" t="s">
        <v>72</v>
      </c>
      <c r="B27" s="86">
        <v>25000</v>
      </c>
      <c r="C27" s="86">
        <v>25300</v>
      </c>
      <c r="D27" s="86">
        <v>21000</v>
      </c>
      <c r="E27" s="86">
        <v>18000</v>
      </c>
    </row>
    <row r="28" spans="1:5" x14ac:dyDescent="0.2">
      <c r="A28" s="86" t="s">
        <v>78</v>
      </c>
      <c r="B28" s="90">
        <v>5208</v>
      </c>
      <c r="C28" s="90">
        <f>+B28+150</f>
        <v>5358</v>
      </c>
      <c r="D28" s="90">
        <f>+C28+150</f>
        <v>5508</v>
      </c>
      <c r="E28" s="90">
        <f>+D28+150</f>
        <v>5658</v>
      </c>
    </row>
    <row r="29" spans="1:5" x14ac:dyDescent="0.2">
      <c r="A29" s="99" t="s">
        <v>73</v>
      </c>
      <c r="B29" s="97">
        <f>SUM(B25:B28)</f>
        <v>94368</v>
      </c>
      <c r="C29" s="97">
        <f>SUM(C25:C28)</f>
        <v>93202.44</v>
      </c>
      <c r="D29" s="97">
        <f t="shared" ref="D29" si="1">SUM(D25:D28)</f>
        <v>93547.739999999903</v>
      </c>
      <c r="E29" s="97">
        <f>SUM(E25:E28)</f>
        <v>68535.719999999987</v>
      </c>
    </row>
    <row r="30" spans="1:5" x14ac:dyDescent="0.2">
      <c r="A30" s="95"/>
      <c r="B30" s="95"/>
      <c r="C30" s="95"/>
      <c r="D30" s="95"/>
      <c r="E30" s="95"/>
    </row>
    <row r="31" spans="1:5" x14ac:dyDescent="0.2">
      <c r="A31" s="96" t="s">
        <v>74</v>
      </c>
      <c r="B31" s="97"/>
      <c r="C31" s="97"/>
      <c r="D31" s="97"/>
      <c r="E31" s="97"/>
    </row>
    <row r="32" spans="1:5" x14ac:dyDescent="0.2">
      <c r="A32" s="86" t="s">
        <v>75</v>
      </c>
      <c r="B32" s="86">
        <v>10836</v>
      </c>
      <c r="C32" s="86">
        <v>10836</v>
      </c>
      <c r="D32" s="86">
        <v>10836</v>
      </c>
      <c r="E32" s="86">
        <v>10836</v>
      </c>
    </row>
    <row r="33" spans="1:5" x14ac:dyDescent="0.2">
      <c r="A33" s="86" t="s">
        <v>76</v>
      </c>
      <c r="B33" s="98">
        <v>80565</v>
      </c>
      <c r="C33" s="98">
        <f>+B33+'Conto Economico'!C33</f>
        <v>104611.56</v>
      </c>
      <c r="D33" s="98">
        <f>+C33+'Conto Economico'!D33</f>
        <v>124022.76</v>
      </c>
      <c r="E33" s="98">
        <f>+D33+'Conto Economico'!E33</f>
        <v>140414.28</v>
      </c>
    </row>
    <row r="34" spans="1:5" x14ac:dyDescent="0.2">
      <c r="A34" s="100" t="s">
        <v>77</v>
      </c>
      <c r="B34" s="100">
        <f>SUM(B32:B33)</f>
        <v>91401</v>
      </c>
      <c r="C34" s="100">
        <f>SUM(C32:C33)</f>
        <v>115447.56</v>
      </c>
      <c r="D34" s="100">
        <f t="shared" ref="D34" si="2">SUM(D32:D33)</f>
        <v>134858.76</v>
      </c>
      <c r="E34" s="100">
        <f>SUM(E32:E33)</f>
        <v>151250.28</v>
      </c>
    </row>
    <row r="35" spans="1:5" ht="13.5" thickBot="1" x14ac:dyDescent="0.25">
      <c r="A35" s="94" t="s">
        <v>104</v>
      </c>
      <c r="B35" s="94">
        <f>B29+B34</f>
        <v>185769</v>
      </c>
      <c r="C35" s="94">
        <f>C29+C34</f>
        <v>208650</v>
      </c>
      <c r="D35" s="94">
        <f t="shared" ref="D35" si="3">D29+D34</f>
        <v>228406.49999999991</v>
      </c>
      <c r="E35" s="94">
        <f>E29+E34</f>
        <v>219786</v>
      </c>
    </row>
    <row r="36" spans="1:5" ht="13.5" thickTop="1" x14ac:dyDescent="0.2">
      <c r="A36" s="4"/>
      <c r="B36" s="4"/>
      <c r="C36" s="4"/>
      <c r="D36" s="4"/>
      <c r="E36" s="4"/>
    </row>
    <row r="37" spans="1:5" x14ac:dyDescent="0.2">
      <c r="A37" s="12" t="s">
        <v>79</v>
      </c>
      <c r="B37" s="12">
        <f>B35-B19</f>
        <v>0</v>
      </c>
      <c r="C37" s="12">
        <f>C35-C19</f>
        <v>0</v>
      </c>
      <c r="D37" s="12">
        <f>D35-D19</f>
        <v>0</v>
      </c>
      <c r="E37" s="12">
        <f>E35-E19</f>
        <v>0</v>
      </c>
    </row>
    <row r="38" spans="1:5" x14ac:dyDescent="0.2">
      <c r="B38" s="67"/>
      <c r="C38" s="67"/>
      <c r="D38" s="67"/>
      <c r="E38" s="67"/>
    </row>
    <row r="39" spans="1:5" ht="13.5" x14ac:dyDescent="0.25">
      <c r="A39" s="60" t="s">
        <v>22</v>
      </c>
      <c r="B39" s="68"/>
      <c r="C39" s="68"/>
      <c r="D39" s="68"/>
      <c r="E39" s="68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E36"/>
  <sheetViews>
    <sheetView showGridLines="0" zoomScale="145" zoomScaleNormal="145" workbookViewId="0">
      <pane ySplit="3" topLeftCell="A4" activePane="bottomLeft" state="frozen"/>
      <selection pane="bottomLeft" activeCell="G24" sqref="G24"/>
    </sheetView>
  </sheetViews>
  <sheetFormatPr defaultColWidth="9.140625" defaultRowHeight="14.25" customHeight="1" x14ac:dyDescent="0.3"/>
  <cols>
    <col min="1" max="1" width="55.28515625" style="2" customWidth="1"/>
    <col min="2" max="5" width="16.85546875" style="2" customWidth="1"/>
    <col min="6" max="16384" width="9.140625" style="2"/>
  </cols>
  <sheetData>
    <row r="1" spans="1:5" ht="14.25" customHeight="1" x14ac:dyDescent="0.3">
      <c r="A1" s="56" t="str">
        <f>INDEX!B3</f>
        <v>Atena spa</v>
      </c>
      <c r="B1" s="57"/>
      <c r="C1" s="57"/>
      <c r="D1" s="57"/>
      <c r="E1" s="58"/>
    </row>
    <row r="2" spans="1:5" ht="14.25" customHeight="1" x14ac:dyDescent="0.3">
      <c r="A2" s="59" t="s">
        <v>23</v>
      </c>
      <c r="B2" s="57"/>
      <c r="C2" s="57"/>
      <c r="D2" s="57"/>
      <c r="E2" s="57"/>
    </row>
    <row r="3" spans="1:5" s="64" customFormat="1" ht="12.75" x14ac:dyDescent="0.2">
      <c r="A3" s="63"/>
      <c r="B3" s="63">
        <f>+INDEX!B4</f>
        <v>2016</v>
      </c>
      <c r="C3" s="63">
        <f>+B3+1</f>
        <v>2017</v>
      </c>
      <c r="D3" s="63">
        <f>+C3+1</f>
        <v>2018</v>
      </c>
      <c r="E3" s="63">
        <f>+D3+1</f>
        <v>2019</v>
      </c>
    </row>
    <row r="4" spans="1:5" ht="14.25" customHeight="1" x14ac:dyDescent="0.3">
      <c r="A4" s="101" t="s">
        <v>26</v>
      </c>
      <c r="B4" s="102">
        <v>125000</v>
      </c>
      <c r="C4" s="102">
        <v>115000</v>
      </c>
      <c r="D4" s="102">
        <v>135000</v>
      </c>
      <c r="E4" s="102">
        <v>142000</v>
      </c>
    </row>
    <row r="5" spans="1:5" ht="14.25" customHeight="1" x14ac:dyDescent="0.3">
      <c r="A5" s="101" t="s">
        <v>28</v>
      </c>
      <c r="B5" s="102">
        <v>52500</v>
      </c>
      <c r="C5" s="102">
        <v>70000</v>
      </c>
      <c r="D5" s="102">
        <v>60750</v>
      </c>
      <c r="E5" s="102">
        <v>58600</v>
      </c>
    </row>
    <row r="6" spans="1:5" ht="14.25" customHeight="1" x14ac:dyDescent="0.3">
      <c r="A6" s="101" t="s">
        <v>27</v>
      </c>
      <c r="B6" s="102">
        <v>12500</v>
      </c>
      <c r="C6" s="102">
        <v>10000</v>
      </c>
      <c r="D6" s="102">
        <v>3000</v>
      </c>
      <c r="E6" s="102">
        <v>1200</v>
      </c>
    </row>
    <row r="7" spans="1:5" ht="14.25" customHeight="1" x14ac:dyDescent="0.3">
      <c r="A7" s="101" t="s">
        <v>37</v>
      </c>
      <c r="B7" s="102">
        <v>-1500</v>
      </c>
      <c r="C7" s="102">
        <v>1368</v>
      </c>
      <c r="D7" s="102">
        <v>420</v>
      </c>
      <c r="E7" s="102">
        <v>-1204</v>
      </c>
    </row>
    <row r="8" spans="1:5" ht="14.25" customHeight="1" x14ac:dyDescent="0.3">
      <c r="A8" s="103" t="s">
        <v>39</v>
      </c>
      <c r="B8" s="111">
        <f>SUM(B4:B7)</f>
        <v>188500</v>
      </c>
      <c r="C8" s="111">
        <f>SUM(C4:C7)</f>
        <v>196368</v>
      </c>
      <c r="D8" s="111">
        <f>SUM(D4:D7)</f>
        <v>199170</v>
      </c>
      <c r="E8" s="111">
        <f>SUM(E4:E7)</f>
        <v>200596</v>
      </c>
    </row>
    <row r="9" spans="1:5" ht="14.25" customHeight="1" x14ac:dyDescent="0.3">
      <c r="A9" s="104"/>
      <c r="B9" s="105"/>
      <c r="C9" s="105"/>
      <c r="D9" s="105"/>
      <c r="E9" s="105"/>
    </row>
    <row r="10" spans="1:5" ht="14.25" customHeight="1" x14ac:dyDescent="0.3">
      <c r="A10" s="101" t="s">
        <v>38</v>
      </c>
      <c r="B10" s="102">
        <v>101570</v>
      </c>
      <c r="C10" s="102">
        <v>105000</v>
      </c>
      <c r="D10" s="102">
        <v>110000</v>
      </c>
      <c r="E10" s="102">
        <v>112000</v>
      </c>
    </row>
    <row r="11" spans="1:5" s="70" customFormat="1" ht="14.25" customHeight="1" x14ac:dyDescent="0.3">
      <c r="A11" s="103" t="s">
        <v>29</v>
      </c>
      <c r="B11" s="111">
        <f>B8-B10</f>
        <v>86930</v>
      </c>
      <c r="C11" s="111">
        <f>C8-C10</f>
        <v>91368</v>
      </c>
      <c r="D11" s="111">
        <f>D8-D10</f>
        <v>89170</v>
      </c>
      <c r="E11" s="111">
        <f>E8-E10</f>
        <v>88596</v>
      </c>
    </row>
    <row r="12" spans="1:5" s="71" customFormat="1" ht="14.25" customHeight="1" x14ac:dyDescent="0.3">
      <c r="A12" s="106" t="s">
        <v>31</v>
      </c>
      <c r="B12" s="112">
        <f>+B11/B8</f>
        <v>0.46116710875331562</v>
      </c>
      <c r="C12" s="112">
        <f>+C11/C8</f>
        <v>0.46528966022977269</v>
      </c>
      <c r="D12" s="112">
        <f>+D11/D8</f>
        <v>0.44770798815082591</v>
      </c>
      <c r="E12" s="112">
        <f>+E11/E8</f>
        <v>0.4416638417515803</v>
      </c>
    </row>
    <row r="13" spans="1:5" s="69" customFormat="1" ht="14.25" customHeight="1" x14ac:dyDescent="0.3">
      <c r="A13" s="107"/>
      <c r="B13" s="107"/>
      <c r="C13" s="107"/>
      <c r="D13" s="107"/>
      <c r="E13" s="107"/>
    </row>
    <row r="14" spans="1:5" ht="14.25" customHeight="1" x14ac:dyDescent="0.3">
      <c r="A14" s="101" t="s">
        <v>40</v>
      </c>
      <c r="B14" s="102">
        <v>8700</v>
      </c>
      <c r="C14" s="102">
        <v>6510</v>
      </c>
      <c r="D14" s="102">
        <v>5879.9999999999991</v>
      </c>
      <c r="E14" s="102">
        <v>5670.0000000000009</v>
      </c>
    </row>
    <row r="15" spans="1:5" ht="14.25" customHeight="1" x14ac:dyDescent="0.3">
      <c r="A15" s="101" t="s">
        <v>41</v>
      </c>
      <c r="B15" s="102">
        <v>2025</v>
      </c>
      <c r="C15" s="102">
        <v>2100</v>
      </c>
      <c r="D15" s="102">
        <v>2475</v>
      </c>
      <c r="E15" s="102">
        <v>2100</v>
      </c>
    </row>
    <row r="16" spans="1:5" ht="14.25" customHeight="1" x14ac:dyDescent="0.3">
      <c r="A16" s="101" t="s">
        <v>42</v>
      </c>
      <c r="B16" s="102">
        <v>1012.5</v>
      </c>
      <c r="C16" s="102">
        <v>840</v>
      </c>
      <c r="D16" s="102">
        <v>1012.5</v>
      </c>
      <c r="E16" s="102">
        <v>840</v>
      </c>
    </row>
    <row r="17" spans="1:5" ht="14.25" customHeight="1" x14ac:dyDescent="0.3">
      <c r="A17" s="101" t="s">
        <v>44</v>
      </c>
      <c r="B17" s="102">
        <v>1012.5</v>
      </c>
      <c r="C17" s="102">
        <v>810</v>
      </c>
      <c r="D17" s="102">
        <v>1012.5</v>
      </c>
      <c r="E17" s="102">
        <v>840</v>
      </c>
    </row>
    <row r="18" spans="1:5" ht="14.25" customHeight="1" x14ac:dyDescent="0.3">
      <c r="A18" s="101" t="s">
        <v>43</v>
      </c>
      <c r="B18" s="102">
        <v>25950</v>
      </c>
      <c r="C18" s="102">
        <v>30750</v>
      </c>
      <c r="D18" s="102">
        <v>36900</v>
      </c>
      <c r="E18" s="102">
        <v>40560</v>
      </c>
    </row>
    <row r="19" spans="1:5" ht="14.25" customHeight="1" x14ac:dyDescent="0.3">
      <c r="A19" s="101" t="s">
        <v>45</v>
      </c>
      <c r="B19" s="102">
        <v>1400</v>
      </c>
      <c r="C19" s="102">
        <v>1485.0000000000002</v>
      </c>
      <c r="D19" s="102">
        <v>1620</v>
      </c>
      <c r="E19" s="102">
        <v>2500</v>
      </c>
    </row>
    <row r="20" spans="1:5" ht="14.25" customHeight="1" x14ac:dyDescent="0.3">
      <c r="A20" s="101" t="s">
        <v>46</v>
      </c>
      <c r="B20" s="102">
        <v>1250</v>
      </c>
      <c r="C20" s="102">
        <v>1500</v>
      </c>
      <c r="D20" s="102">
        <v>750</v>
      </c>
      <c r="E20" s="102">
        <v>720</v>
      </c>
    </row>
    <row r="21" spans="1:5" ht="14.25" customHeight="1" x14ac:dyDescent="0.3">
      <c r="A21" s="101" t="s">
        <v>47</v>
      </c>
      <c r="B21" s="102">
        <v>500</v>
      </c>
      <c r="C21" s="102">
        <v>540</v>
      </c>
      <c r="D21" s="102">
        <v>800</v>
      </c>
      <c r="E21" s="102">
        <v>560</v>
      </c>
    </row>
    <row r="22" spans="1:5" ht="14.25" customHeight="1" x14ac:dyDescent="0.3">
      <c r="A22" s="101" t="s">
        <v>48</v>
      </c>
      <c r="B22" s="102">
        <v>9800</v>
      </c>
      <c r="C22" s="102">
        <v>9800</v>
      </c>
      <c r="D22" s="102">
        <v>8100</v>
      </c>
      <c r="E22" s="102">
        <v>8400</v>
      </c>
    </row>
    <row r="23" spans="1:5" ht="14.25" customHeight="1" x14ac:dyDescent="0.3">
      <c r="A23" s="101" t="s">
        <v>49</v>
      </c>
      <c r="B23" s="102">
        <v>250</v>
      </c>
      <c r="C23" s="102">
        <v>135</v>
      </c>
      <c r="D23" s="102">
        <v>160</v>
      </c>
      <c r="E23" s="102">
        <v>140</v>
      </c>
    </row>
    <row r="24" spans="1:5" ht="14.25" customHeight="1" x14ac:dyDescent="0.3">
      <c r="A24" s="108" t="s">
        <v>30</v>
      </c>
      <c r="B24" s="110">
        <f>SUM(B14:B23)</f>
        <v>51900</v>
      </c>
      <c r="C24" s="110">
        <f>SUM(C14:C23)</f>
        <v>54470</v>
      </c>
      <c r="D24" s="110">
        <f>SUM(D14:D23)</f>
        <v>58710</v>
      </c>
      <c r="E24" s="110">
        <f>SUM(E14:E23)</f>
        <v>62330</v>
      </c>
    </row>
    <row r="25" spans="1:5" s="70" customFormat="1" ht="14.25" customHeight="1" x14ac:dyDescent="0.3">
      <c r="A25" s="103" t="s">
        <v>86</v>
      </c>
      <c r="B25" s="111">
        <f>B11-B24</f>
        <v>35030</v>
      </c>
      <c r="C25" s="111">
        <f>C11-C24</f>
        <v>36898</v>
      </c>
      <c r="D25" s="111">
        <f>D11-D24</f>
        <v>30460</v>
      </c>
      <c r="E25" s="111">
        <f>E11-E24</f>
        <v>26266</v>
      </c>
    </row>
    <row r="26" spans="1:5" s="71" customFormat="1" ht="14.25" customHeight="1" x14ac:dyDescent="0.3">
      <c r="A26" s="109" t="s">
        <v>32</v>
      </c>
      <c r="B26" s="112">
        <f>+B25/B8</f>
        <v>0.18583554376657824</v>
      </c>
      <c r="C26" s="112">
        <f>+C25/C8</f>
        <v>0.18790230587468426</v>
      </c>
      <c r="D26" s="112">
        <f>+D25/D8</f>
        <v>0.15293467891750764</v>
      </c>
      <c r="E26" s="112">
        <f>+E25/E8</f>
        <v>0.13093979939779457</v>
      </c>
    </row>
    <row r="27" spans="1:5" s="69" customFormat="1" ht="14.25" customHeight="1" x14ac:dyDescent="0.3">
      <c r="A27" s="107"/>
      <c r="B27" s="113"/>
      <c r="C27" s="113"/>
      <c r="D27" s="113"/>
      <c r="E27" s="113"/>
    </row>
    <row r="28" spans="1:5" ht="14.25" customHeight="1" x14ac:dyDescent="0.3">
      <c r="A28" s="101" t="s">
        <v>50</v>
      </c>
      <c r="B28" s="102">
        <v>3500</v>
      </c>
      <c r="C28" s="102">
        <v>3500</v>
      </c>
      <c r="D28" s="102">
        <v>3500</v>
      </c>
      <c r="E28" s="102">
        <v>3500</v>
      </c>
    </row>
    <row r="29" spans="1:5" s="70" customFormat="1" ht="14.25" customHeight="1" x14ac:dyDescent="0.3">
      <c r="A29" s="103" t="s">
        <v>33</v>
      </c>
      <c r="B29" s="111">
        <f t="shared" ref="B29:E29" si="0">B25-B28</f>
        <v>31530</v>
      </c>
      <c r="C29" s="111">
        <f>C25-C28</f>
        <v>33398</v>
      </c>
      <c r="D29" s="111">
        <f t="shared" si="0"/>
        <v>26960</v>
      </c>
      <c r="E29" s="111">
        <f t="shared" si="0"/>
        <v>22766</v>
      </c>
    </row>
    <row r="30" spans="1:5" s="71" customFormat="1" ht="14.25" customHeight="1" x14ac:dyDescent="0.3">
      <c r="A30" s="109" t="s">
        <v>34</v>
      </c>
      <c r="B30" s="112">
        <f>+B29/B8</f>
        <v>0.16726790450928383</v>
      </c>
      <c r="C30" s="112">
        <f>+C29/C8</f>
        <v>0.17007862788234335</v>
      </c>
      <c r="D30" s="112">
        <f>+D29/D8</f>
        <v>0.1353617512677612</v>
      </c>
      <c r="E30" s="112">
        <f>+E29/E8</f>
        <v>0.11349179445253145</v>
      </c>
    </row>
    <row r="31" spans="1:5" ht="14.25" customHeight="1" x14ac:dyDescent="0.3">
      <c r="A31" s="104"/>
      <c r="B31" s="114"/>
      <c r="C31" s="114"/>
      <c r="D31" s="114"/>
      <c r="E31" s="114"/>
    </row>
    <row r="32" spans="1:5" ht="14.25" customHeight="1" x14ac:dyDescent="0.3">
      <c r="A32" s="101" t="s">
        <v>51</v>
      </c>
      <c r="B32" s="102">
        <v>8828.4000000000015</v>
      </c>
      <c r="C32" s="102">
        <v>9351.44</v>
      </c>
      <c r="D32" s="102">
        <v>7548.8000000000011</v>
      </c>
      <c r="E32" s="102">
        <v>6374.4800000000005</v>
      </c>
    </row>
    <row r="33" spans="1:5" s="70" customFormat="1" ht="14.25" customHeight="1" x14ac:dyDescent="0.3">
      <c r="A33" s="103" t="s">
        <v>35</v>
      </c>
      <c r="B33" s="111">
        <f t="shared" ref="B33:E33" si="1">+B29-B32</f>
        <v>22701.599999999999</v>
      </c>
      <c r="C33" s="111">
        <f>+C29-C32</f>
        <v>24046.559999999998</v>
      </c>
      <c r="D33" s="111">
        <f t="shared" si="1"/>
        <v>19411.199999999997</v>
      </c>
      <c r="E33" s="111">
        <f t="shared" si="1"/>
        <v>16391.52</v>
      </c>
    </row>
    <row r="34" spans="1:5" s="71" customFormat="1" ht="14.25" customHeight="1" x14ac:dyDescent="0.3">
      <c r="A34" s="109" t="s">
        <v>36</v>
      </c>
      <c r="B34" s="112">
        <f>+B33/B8</f>
        <v>0.12043289124668434</v>
      </c>
      <c r="C34" s="112">
        <f>+C33/C8</f>
        <v>0.1224566120752872</v>
      </c>
      <c r="D34" s="112">
        <f>+D33/D8</f>
        <v>9.7460460912788052E-2</v>
      </c>
      <c r="E34" s="112">
        <f>+E33/E8</f>
        <v>8.171409200582265E-2</v>
      </c>
    </row>
    <row r="36" spans="1:5" s="13" customFormat="1" ht="13.5" x14ac:dyDescent="0.25">
      <c r="A36" s="60" t="s">
        <v>22</v>
      </c>
      <c r="B36" s="57"/>
      <c r="C36" s="57"/>
      <c r="D36" s="57"/>
      <c r="E36" s="57"/>
    </row>
  </sheetData>
  <sheetProtection sheet="1" objects="1" scenarios="1"/>
  <conditionalFormatting sqref="A1:A2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ignoredErrors>
    <ignoredError sqref="B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G59"/>
  <sheetViews>
    <sheetView showGridLines="0" zoomScale="145" zoomScaleNormal="145" workbookViewId="0">
      <pane ySplit="3" topLeftCell="A6" activePane="bottomLeft" state="frozen"/>
      <selection pane="bottomLeft" activeCell="A22" sqref="A22:XFD31"/>
    </sheetView>
  </sheetViews>
  <sheetFormatPr defaultColWidth="9.140625" defaultRowHeight="16.5" x14ac:dyDescent="0.3"/>
  <cols>
    <col min="1" max="1" width="50.85546875" style="2" customWidth="1"/>
    <col min="2" max="6" width="16" style="2" customWidth="1"/>
    <col min="7" max="16384" width="9.140625" style="2"/>
  </cols>
  <sheetData>
    <row r="1" spans="1:7" ht="18.75" x14ac:dyDescent="0.3">
      <c r="A1" s="56" t="str">
        <f>INDEX!B3</f>
        <v>Atena spa</v>
      </c>
      <c r="B1" s="57"/>
      <c r="C1" s="57"/>
      <c r="D1" s="57"/>
      <c r="E1" s="58"/>
      <c r="F1" s="58"/>
    </row>
    <row r="2" spans="1:7" x14ac:dyDescent="0.3">
      <c r="A2" s="59" t="s">
        <v>24</v>
      </c>
      <c r="B2" s="57"/>
      <c r="C2" s="57"/>
      <c r="D2" s="57"/>
      <c r="E2" s="57"/>
      <c r="F2" s="57"/>
    </row>
    <row r="3" spans="1:7" s="66" customFormat="1" x14ac:dyDescent="0.3">
      <c r="A3" s="63"/>
      <c r="B3" s="63">
        <f>+INDEX!B4</f>
        <v>2016</v>
      </c>
      <c r="C3" s="63">
        <f>+B3+1</f>
        <v>2017</v>
      </c>
      <c r="D3" s="63">
        <f>+C3+1</f>
        <v>2018</v>
      </c>
      <c r="E3" s="63">
        <f>+D3+1</f>
        <v>2019</v>
      </c>
      <c r="F3" s="63" t="s">
        <v>25</v>
      </c>
    </row>
    <row r="4" spans="1:7" s="18" customFormat="1" ht="12.75" x14ac:dyDescent="0.2">
      <c r="A4" s="18" t="s">
        <v>9</v>
      </c>
      <c r="B4" s="27">
        <f>'Conto Economico'!B33/'Stato Patrimoniale'!B34</f>
        <v>0.24837365017888205</v>
      </c>
      <c r="C4" s="27">
        <f>'Conto Economico'!C33/'Stato Patrimoniale'!C34</f>
        <v>0.20828989369719028</v>
      </c>
      <c r="D4" s="27">
        <f>'Conto Economico'!D33/'Stato Patrimoniale'!D34</f>
        <v>0.14393725702357041</v>
      </c>
      <c r="E4" s="27">
        <f>'Conto Economico'!E33/'Stato Patrimoniale'!E34</f>
        <v>0.10837348532511808</v>
      </c>
      <c r="F4" s="27">
        <f>AVERAGE(B4:E4)</f>
        <v>0.17724357155619019</v>
      </c>
    </row>
    <row r="5" spans="1:7" s="18" customFormat="1" ht="12.75" x14ac:dyDescent="0.2">
      <c r="B5" s="28"/>
      <c r="C5" s="28"/>
      <c r="D5" s="28"/>
      <c r="E5" s="28"/>
      <c r="F5" s="29"/>
      <c r="G5" s="19"/>
    </row>
    <row r="6" spans="1:7" s="18" customFormat="1" ht="12.75" x14ac:dyDescent="0.2">
      <c r="A6" s="18" t="s">
        <v>80</v>
      </c>
      <c r="B6" s="30">
        <f>'Conto Economico'!B33/'Stato Patrimoniale'!B19</f>
        <v>0.1222033816191076</v>
      </c>
      <c r="C6" s="30">
        <f>'Conto Economico'!C33/'Stato Patrimoniale'!C19</f>
        <v>0.11524831056793672</v>
      </c>
      <c r="D6" s="30">
        <f>'Conto Economico'!D33/'Stato Patrimoniale'!D19</f>
        <v>8.498532222156549E-2</v>
      </c>
      <c r="E6" s="30">
        <f>'Conto Economico'!E33/'Stato Patrimoniale'!E19</f>
        <v>7.4579454560345065E-2</v>
      </c>
      <c r="F6" s="29">
        <f>AVERAGE(B6:E6)</f>
        <v>9.9254117242238732E-2</v>
      </c>
    </row>
    <row r="7" spans="1:7" s="18" customFormat="1" ht="12.75" x14ac:dyDescent="0.2">
      <c r="A7" s="38" t="s">
        <v>81</v>
      </c>
      <c r="B7" s="39">
        <f>+'Stato Patrimoniale'!B35/'Stato Patrimoniale'!B34</f>
        <v>2.0324613516263499</v>
      </c>
      <c r="C7" s="39">
        <f>+'Stato Patrimoniale'!C35/'Stato Patrimoniale'!C34</f>
        <v>1.8073140740263371</v>
      </c>
      <c r="D7" s="39">
        <f>+'Stato Patrimoniale'!D35/'Stato Patrimoniale'!D34</f>
        <v>1.693671957238817</v>
      </c>
      <c r="E7" s="39">
        <f>+'Stato Patrimoniale'!E35/'Stato Patrimoniale'!E34</f>
        <v>1.453127888424405</v>
      </c>
      <c r="F7" s="39">
        <f>AVERAGE(B7:E7)</f>
        <v>1.7466438178289772</v>
      </c>
    </row>
    <row r="8" spans="1:7" s="18" customFormat="1" ht="12.75" x14ac:dyDescent="0.2">
      <c r="A8" s="15" t="s">
        <v>10</v>
      </c>
      <c r="B8" s="32">
        <f>+B6*B7</f>
        <v>0.24837365017888208</v>
      </c>
      <c r="C8" s="32">
        <f>+C6*C7</f>
        <v>0.20828989369719028</v>
      </c>
      <c r="D8" s="32">
        <f t="shared" ref="D8:E8" si="0">+D6*D7</f>
        <v>0.14393725702357035</v>
      </c>
      <c r="E8" s="32">
        <f t="shared" si="0"/>
        <v>0.10837348532511809</v>
      </c>
      <c r="F8" s="27">
        <f>AVERAGE(B8:E8)</f>
        <v>0.17724357155619019</v>
      </c>
      <c r="G8" s="19"/>
    </row>
    <row r="9" spans="1:7" s="18" customFormat="1" ht="12.75" x14ac:dyDescent="0.2">
      <c r="A9" s="40" t="s">
        <v>103</v>
      </c>
      <c r="B9" s="41">
        <f>+B4-B8</f>
        <v>0</v>
      </c>
      <c r="C9" s="41">
        <f t="shared" ref="C9:E9" si="1">+C4-C8</f>
        <v>0</v>
      </c>
      <c r="D9" s="41">
        <f t="shared" si="1"/>
        <v>0</v>
      </c>
      <c r="E9" s="41">
        <f t="shared" si="1"/>
        <v>0</v>
      </c>
      <c r="F9" s="41">
        <f>+F4-F8</f>
        <v>0</v>
      </c>
      <c r="G9" s="19"/>
    </row>
    <row r="10" spans="1:7" s="18" customFormat="1" ht="12.75" x14ac:dyDescent="0.2">
      <c r="A10" s="15"/>
      <c r="B10" s="32"/>
      <c r="C10" s="32"/>
      <c r="D10" s="32"/>
      <c r="E10" s="32"/>
      <c r="F10" s="29"/>
      <c r="G10" s="19"/>
    </row>
    <row r="11" spans="1:7" s="18" customFormat="1" ht="12.75" x14ac:dyDescent="0.2">
      <c r="A11" s="20" t="s">
        <v>84</v>
      </c>
      <c r="B11" s="28"/>
      <c r="C11" s="28"/>
      <c r="D11" s="28"/>
      <c r="E11" s="28"/>
      <c r="F11" s="29"/>
    </row>
    <row r="12" spans="1:7" s="18" customFormat="1" ht="12.75" x14ac:dyDescent="0.2">
      <c r="A12" s="18" t="str">
        <f>+'Conto Economico'!A11</f>
        <v>Margine di Contribuzione</v>
      </c>
      <c r="B12" s="30">
        <f>+'Conto Economico'!B11/'Conto Economico'!B8</f>
        <v>0.46116710875331562</v>
      </c>
      <c r="C12" s="30">
        <f>+'Conto Economico'!C11/'Conto Economico'!C8</f>
        <v>0.46528966022977269</v>
      </c>
      <c r="D12" s="30">
        <f>+'Conto Economico'!D11/'Conto Economico'!D8</f>
        <v>0.44770798815082591</v>
      </c>
      <c r="E12" s="30">
        <f>+'Conto Economico'!E11/'Conto Economico'!E8</f>
        <v>0.4416638417515803</v>
      </c>
      <c r="F12" s="30">
        <f>AVERAGE(B12:E12)</f>
        <v>0.45395714972137363</v>
      </c>
      <c r="G12" s="21"/>
    </row>
    <row r="13" spans="1:7" s="18" customFormat="1" ht="12.75" x14ac:dyDescent="0.2">
      <c r="A13" s="18" t="s">
        <v>85</v>
      </c>
      <c r="B13" s="30">
        <f>+'Conto Economico'!B25/'Conto Economico'!B8</f>
        <v>0.18583554376657824</v>
      </c>
      <c r="C13" s="30">
        <f>+'Conto Economico'!C25/'Conto Economico'!C8</f>
        <v>0.18790230587468426</v>
      </c>
      <c r="D13" s="30">
        <f>+'Conto Economico'!D25/'Conto Economico'!D8</f>
        <v>0.15293467891750764</v>
      </c>
      <c r="E13" s="30">
        <f>+'Conto Economico'!E25/'Conto Economico'!E8</f>
        <v>0.13093979939779457</v>
      </c>
      <c r="F13" s="30">
        <f>AVERAGE(B13:E13)</f>
        <v>0.16440308198914116</v>
      </c>
      <c r="G13" s="21"/>
    </row>
    <row r="14" spans="1:7" s="18" customFormat="1" ht="12.75" x14ac:dyDescent="0.2">
      <c r="A14" s="18" t="s">
        <v>87</v>
      </c>
      <c r="B14" s="30">
        <f>+'Conto Economico'!B28/'Conto Economico'!B8</f>
        <v>1.8567639257294429E-2</v>
      </c>
      <c r="C14" s="30">
        <f>+'Conto Economico'!C28/'Conto Economico'!C8</f>
        <v>1.782367799234091E-2</v>
      </c>
      <c r="D14" s="30">
        <f>+'Conto Economico'!D28/'Conto Economico'!D8</f>
        <v>1.7572927649746446E-2</v>
      </c>
      <c r="E14" s="30">
        <f>+'Conto Economico'!E28/'Conto Economico'!E8</f>
        <v>1.7448004945263117E-2</v>
      </c>
      <c r="F14" s="30">
        <f>AVERAGE(B14:E14)</f>
        <v>1.7853062461161227E-2</v>
      </c>
      <c r="G14" s="21"/>
    </row>
    <row r="15" spans="1:7" s="18" customFormat="1" ht="12.75" x14ac:dyDescent="0.2">
      <c r="A15" s="18" t="s">
        <v>88</v>
      </c>
      <c r="B15" s="30">
        <f>+'Conto Economico'!B32/'Conto Economico'!B29</f>
        <v>0.28000000000000003</v>
      </c>
      <c r="C15" s="30">
        <f>+'Conto Economico'!C32/'Conto Economico'!C29</f>
        <v>0.28000000000000003</v>
      </c>
      <c r="D15" s="30">
        <f>+'Conto Economico'!D32/'Conto Economico'!D29</f>
        <v>0.28000000000000003</v>
      </c>
      <c r="E15" s="30">
        <f>+'Conto Economico'!E32/'Conto Economico'!E29</f>
        <v>0.28000000000000003</v>
      </c>
      <c r="F15" s="30">
        <f>AVERAGE(B15:E15)</f>
        <v>0.28000000000000003</v>
      </c>
      <c r="G15" s="21"/>
    </row>
    <row r="16" spans="1:7" s="18" customFormat="1" ht="12.75" x14ac:dyDescent="0.2">
      <c r="B16" s="34"/>
      <c r="C16" s="34"/>
      <c r="D16" s="34"/>
      <c r="E16" s="34"/>
      <c r="F16" s="30"/>
      <c r="G16" s="21"/>
    </row>
    <row r="17" spans="1:7" s="18" customFormat="1" ht="12.75" x14ac:dyDescent="0.2">
      <c r="A17" s="20" t="s">
        <v>7</v>
      </c>
      <c r="B17" s="32"/>
      <c r="C17" s="32"/>
      <c r="D17" s="32"/>
      <c r="E17" s="32"/>
      <c r="F17" s="29"/>
      <c r="G17" s="19"/>
    </row>
    <row r="18" spans="1:7" s="18" customFormat="1" ht="12.75" x14ac:dyDescent="0.2">
      <c r="A18" s="18" t="s">
        <v>82</v>
      </c>
      <c r="B18" s="29">
        <f>+'Conto Economico'!B25/'Conto Economico'!B8</f>
        <v>0.18583554376657824</v>
      </c>
      <c r="C18" s="29">
        <f>+'Conto Economico'!C25/'Conto Economico'!C8</f>
        <v>0.18790230587468426</v>
      </c>
      <c r="D18" s="29">
        <f>+'Conto Economico'!D25/'Conto Economico'!D8</f>
        <v>0.15293467891750764</v>
      </c>
      <c r="E18" s="29">
        <f>+'Conto Economico'!E25/'Conto Economico'!E8</f>
        <v>0.13093979939779457</v>
      </c>
      <c r="F18" s="29">
        <f>AVERAGE(B18:E18)</f>
        <v>0.16440308198914116</v>
      </c>
    </row>
    <row r="19" spans="1:7" s="18" customFormat="1" ht="12.75" x14ac:dyDescent="0.2">
      <c r="A19" s="38" t="s">
        <v>83</v>
      </c>
      <c r="B19" s="39">
        <f>+'Conto Economico'!B8/'Stato Patrimoniale'!B19</f>
        <v>1.0147010534588656</v>
      </c>
      <c r="C19" s="39">
        <f>+'Conto Economico'!C8/'Stato Patrimoniale'!C19</f>
        <v>0.94113587347232208</v>
      </c>
      <c r="D19" s="39">
        <f>+'Conto Economico'!D8/'Stato Patrimoniale'!D19</f>
        <v>0.87199795102153399</v>
      </c>
      <c r="E19" s="39">
        <f>+'Conto Economico'!E8/'Stato Patrimoniale'!E19</f>
        <v>0.91268779631095698</v>
      </c>
      <c r="F19" s="39">
        <f>AVERAGE(B19:E19)</f>
        <v>0.93513066856591975</v>
      </c>
    </row>
    <row r="20" spans="1:7" s="18" customFormat="1" ht="12.75" x14ac:dyDescent="0.2">
      <c r="A20" s="15" t="s">
        <v>8</v>
      </c>
      <c r="B20" s="33">
        <f>+B18*B19</f>
        <v>0.18856752203004806</v>
      </c>
      <c r="C20" s="33">
        <f t="shared" ref="C20:F20" si="2">+C18*C19</f>
        <v>0.17684160076683442</v>
      </c>
      <c r="D20" s="33">
        <f t="shared" si="2"/>
        <v>0.13335872665620285</v>
      </c>
      <c r="E20" s="33">
        <f t="shared" si="2"/>
        <v>0.1195071569617719</v>
      </c>
      <c r="F20" s="33">
        <f t="shared" si="2"/>
        <v>0.15373836397480331</v>
      </c>
    </row>
    <row r="21" spans="1:7" s="18" customFormat="1" ht="12.75" x14ac:dyDescent="0.2">
      <c r="A21" s="15"/>
      <c r="B21" s="31"/>
      <c r="C21" s="31"/>
      <c r="D21" s="31"/>
      <c r="E21" s="31"/>
      <c r="F21" s="29"/>
    </row>
    <row r="22" spans="1:7" s="13" customFormat="1" ht="12.75" x14ac:dyDescent="0.2">
      <c r="A22" s="26" t="s">
        <v>99</v>
      </c>
      <c r="B22" s="36"/>
      <c r="C22" s="36"/>
      <c r="D22" s="36"/>
      <c r="E22" s="36"/>
      <c r="F22" s="30"/>
      <c r="G22" s="23"/>
    </row>
    <row r="23" spans="1:7" s="13" customFormat="1" ht="12.75" x14ac:dyDescent="0.2">
      <c r="A23" s="13" t="s">
        <v>0</v>
      </c>
      <c r="B23" s="37">
        <f>+'Stato Patrimoniale'!B10/'Stato Patrimoniale'!B25</f>
        <v>1.4195760598503742</v>
      </c>
      <c r="C23" s="37">
        <f>+'Stato Patrimoniale'!C10/'Stato Patrimoniale'!C25</f>
        <v>1.5042104462043309</v>
      </c>
      <c r="D23" s="37">
        <f>+'Stato Patrimoniale'!D10/'Stato Patrimoniale'!D25</f>
        <v>1.6929436182180921</v>
      </c>
      <c r="E23" s="37">
        <f>+'Stato Patrimoniale'!E10/'Stato Patrimoniale'!E25</f>
        <v>2.4126894147028866</v>
      </c>
      <c r="F23" s="22">
        <f>AVERAGE(B23:E23)</f>
        <v>1.7573548847439209</v>
      </c>
      <c r="G23" s="23"/>
    </row>
    <row r="24" spans="1:7" s="13" customFormat="1" ht="12.75" x14ac:dyDescent="0.2">
      <c r="A24" s="13" t="s">
        <v>1</v>
      </c>
      <c r="B24" s="37">
        <f>+('Stato Patrimoniale'!B10-'Stato Patrimoniale'!B7)/'Stato Patrimoniale'!B25</f>
        <v>0.99594763092269323</v>
      </c>
      <c r="C24" s="37">
        <f>+('Stato Patrimoniale'!C10-'Stato Patrimoniale'!C7)/'Stato Patrimoniale'!C25</f>
        <v>1.0368307718479852</v>
      </c>
      <c r="D24" s="37">
        <f>+('Stato Patrimoniale'!D10-'Stato Patrimoniale'!D7)/'Stato Patrimoniale'!D25</f>
        <v>1.2475063298276532</v>
      </c>
      <c r="E24" s="37">
        <f>+('Stato Patrimoniale'!E10-'Stato Patrimoniale'!E7)/'Stato Patrimoniale'!E25</f>
        <v>1.7875239651212234</v>
      </c>
      <c r="F24" s="22">
        <f>AVERAGE(B24:E24)</f>
        <v>1.2669521744298888</v>
      </c>
      <c r="G24" s="23"/>
    </row>
    <row r="25" spans="1:7" s="13" customFormat="1" ht="12.75" x14ac:dyDescent="0.2">
      <c r="B25" s="36"/>
      <c r="C25" s="36"/>
      <c r="D25" s="36"/>
      <c r="E25" s="36"/>
      <c r="F25" s="30"/>
      <c r="G25" s="23"/>
    </row>
    <row r="26" spans="1:7" s="13" customFormat="1" ht="12.75" x14ac:dyDescent="0.2">
      <c r="A26" s="13" t="s">
        <v>2</v>
      </c>
      <c r="B26" s="37">
        <f>+'Conto Economico'!B25/'Conto Economico'!B28</f>
        <v>10.008571428571429</v>
      </c>
      <c r="C26" s="37">
        <f>+'Conto Economico'!C25/'Conto Economico'!C28</f>
        <v>10.542285714285715</v>
      </c>
      <c r="D26" s="37">
        <f>+'Conto Economico'!D25/'Conto Economico'!D28</f>
        <v>8.7028571428571428</v>
      </c>
      <c r="E26" s="37">
        <f>+'Conto Economico'!E25/'Conto Economico'!E28</f>
        <v>7.5045714285714284</v>
      </c>
      <c r="F26" s="22">
        <f>AVERAGE(B26:E26)</f>
        <v>9.1895714285714298</v>
      </c>
      <c r="G26" s="23"/>
    </row>
    <row r="27" spans="1:7" s="13" customFormat="1" ht="12.75" x14ac:dyDescent="0.2">
      <c r="B27" s="36"/>
      <c r="C27" s="36"/>
      <c r="D27" s="36"/>
      <c r="E27" s="36"/>
      <c r="F27" s="30"/>
      <c r="G27" s="23"/>
    </row>
    <row r="28" spans="1:7" s="13" customFormat="1" ht="12.75" x14ac:dyDescent="0.2">
      <c r="A28" s="13" t="s">
        <v>3</v>
      </c>
      <c r="B28" s="37">
        <f>+'Stato Patrimoniale'!B29/'Stato Patrimoniale'!B34</f>
        <v>1.0324613516263499</v>
      </c>
      <c r="C28" s="37">
        <f>+'Stato Patrimoniale'!C29/'Stato Patrimoniale'!C34</f>
        <v>0.80731407402633715</v>
      </c>
      <c r="D28" s="37">
        <f>+'Stato Patrimoniale'!D29/'Stato Patrimoniale'!D34</f>
        <v>0.69367195723881714</v>
      </c>
      <c r="E28" s="37">
        <f>+'Stato Patrimoniale'!E29/'Stato Patrimoniale'!E34</f>
        <v>0.45312788842440482</v>
      </c>
      <c r="F28" s="22">
        <f t="shared" ref="F28:F29" si="3">AVERAGE(B28:E28)</f>
        <v>0.74664381782897726</v>
      </c>
      <c r="G28" s="23"/>
    </row>
    <row r="29" spans="1:7" s="13" customFormat="1" ht="12.75" x14ac:dyDescent="0.2">
      <c r="A29" s="13" t="s">
        <v>4</v>
      </c>
      <c r="B29" s="37">
        <f>+('Stato Patrimoniale'!B27+'Stato Patrimoniale'!B28)/'Stato Patrimoniale'!B34</f>
        <v>0.33049966630562028</v>
      </c>
      <c r="C29" s="37">
        <f>+('Stato Patrimoniale'!C27+'Stato Patrimoniale'!C28)/'Stato Patrimoniale'!C34</f>
        <v>0.26555779957584208</v>
      </c>
      <c r="D29" s="37">
        <f>+('Stato Patrimoniale'!D27+'Stato Patrimoniale'!D28)/'Stato Patrimoniale'!D34</f>
        <v>0.19656120225337975</v>
      </c>
      <c r="E29" s="37">
        <f>+('Stato Patrimoniale'!E27+'Stato Patrimoniale'!E28)/'Stato Patrimoniale'!E34</f>
        <v>0.15641623936167259</v>
      </c>
      <c r="F29" s="22">
        <f t="shared" si="3"/>
        <v>0.23725872687412869</v>
      </c>
      <c r="G29" s="23"/>
    </row>
    <row r="30" spans="1:7" s="13" customFormat="1" ht="12.75" x14ac:dyDescent="0.2">
      <c r="A30" s="13" t="s">
        <v>5</v>
      </c>
      <c r="B30" s="37">
        <f>+('Stato Patrimoniale'!B27+'Stato Patrimoniale'!B28)/'Stato Patrimoniale'!B13</f>
        <v>1.700326466283913</v>
      </c>
      <c r="C30" s="37">
        <f>+('Stato Patrimoniale'!C27+'Stato Patrimoniale'!C28)/'Stato Patrimoniale'!C13</f>
        <v>2.129027777777778</v>
      </c>
      <c r="D30" s="37">
        <f>+('Stato Patrimoniale'!D27+'Stato Patrimoniale'!D28)/'Stato Patrimoniale'!D13</f>
        <v>1.7104142469996129</v>
      </c>
      <c r="E30" s="37">
        <f>+('Stato Patrimoniale'!E27+'Stato Patrimoniale'!E28)/'Stato Patrimoniale'!E13</f>
        <v>1.7761261261261261</v>
      </c>
      <c r="F30" s="22">
        <f>AVERAGE(B30:E30)</f>
        <v>1.8289736542968575</v>
      </c>
      <c r="G30" s="23"/>
    </row>
    <row r="31" spans="1:7" s="13" customFormat="1" ht="12.75" x14ac:dyDescent="0.2">
      <c r="B31" s="36"/>
      <c r="C31" s="36"/>
      <c r="D31" s="36"/>
      <c r="E31" s="36"/>
      <c r="F31" s="30"/>
      <c r="G31" s="23"/>
    </row>
    <row r="32" spans="1:7" s="18" customFormat="1" ht="12.75" x14ac:dyDescent="0.2">
      <c r="A32" s="20" t="s">
        <v>89</v>
      </c>
      <c r="B32" s="34"/>
      <c r="C32" s="34"/>
      <c r="D32" s="34"/>
      <c r="E32" s="34"/>
      <c r="F32" s="30"/>
      <c r="G32" s="21"/>
    </row>
    <row r="33" spans="1:7" s="18" customFormat="1" ht="12.75" x14ac:dyDescent="0.2">
      <c r="A33" s="18" t="s">
        <v>90</v>
      </c>
      <c r="B33" s="25">
        <f>+'Conto Economico'!B8/'Stato Patrimoniale'!B8</f>
        <v>4.1067538126361658</v>
      </c>
      <c r="C33" s="25">
        <f>+'Conto Economico'!C8/'Stato Patrimoniale'!C8</f>
        <v>3.8576143328618575</v>
      </c>
      <c r="D33" s="25">
        <f>+'Conto Economico'!D8/'Stato Patrimoniale'!D8</f>
        <v>3.298308368730904</v>
      </c>
      <c r="E33" s="25">
        <f>+'Conto Economico'!E8/'Stato Patrimoniale'!E8</f>
        <v>3.2757854856620288</v>
      </c>
      <c r="F33" s="22">
        <f>AVERAGE(B33:E33)</f>
        <v>3.6346154999727389</v>
      </c>
      <c r="G33" s="21"/>
    </row>
    <row r="34" spans="1:7" s="18" customFormat="1" ht="12.75" x14ac:dyDescent="0.2">
      <c r="A34" s="18" t="s">
        <v>91</v>
      </c>
      <c r="B34" s="22">
        <f>+'Conto Economico'!B10/'Stato Patrimoniale'!B7</f>
        <v>3.7369389256806476</v>
      </c>
      <c r="C34" s="22">
        <f>+'Conto Economico'!C10/'Stato Patrimoniale'!C7</f>
        <v>3.5919540229885056</v>
      </c>
      <c r="D34" s="22">
        <f>+'Conto Economico'!D10/'Stato Patrimoniale'!D7</f>
        <v>3.6836112785479873</v>
      </c>
      <c r="E34" s="22">
        <f>+'Conto Economico'!E10/'Stato Patrimoniale'!E7</f>
        <v>3.992015968063872</v>
      </c>
      <c r="F34" s="22">
        <f>AVERAGE(B34:E34)</f>
        <v>3.7511300488202535</v>
      </c>
      <c r="G34" s="21"/>
    </row>
    <row r="35" spans="1:7" s="18" customFormat="1" ht="12.75" x14ac:dyDescent="0.2">
      <c r="A35" s="18" t="s">
        <v>92</v>
      </c>
      <c r="B35" s="22">
        <f>+'Conto Economico'!B10/'Stato Patrimoniale'!B23</f>
        <v>2.0745506535947711</v>
      </c>
      <c r="C35" s="22">
        <f>+'Conto Economico'!C10/'Stato Patrimoniale'!C23</f>
        <v>2.0854999360446684</v>
      </c>
      <c r="D35" s="22">
        <f>+'Conto Economico'!D10/'Stato Patrimoniale'!D23</f>
        <v>2.126025372373348</v>
      </c>
      <c r="E35" s="22">
        <f>+'Conto Economico'!E10/'Stato Patrimoniale'!E23</f>
        <v>3.6604034548979465</v>
      </c>
      <c r="F35" s="22">
        <f>AVERAGE(B35:E35)</f>
        <v>2.4866198542276834</v>
      </c>
      <c r="G35" s="21"/>
    </row>
    <row r="36" spans="1:7" s="18" customFormat="1" ht="12.75" x14ac:dyDescent="0.2">
      <c r="A36" s="18" t="s">
        <v>93</v>
      </c>
      <c r="B36" s="22">
        <f>+'Conto Economico'!B8/SUM('Stato Patrimoniale'!B13,'Stato Patrimoniale'!B15)</f>
        <v>7.555715889049222</v>
      </c>
      <c r="C36" s="22">
        <f>+'Conto Economico'!C8/SUM('Stato Patrimoniale'!C13,'Stato Patrimoniale'!C15)</f>
        <v>10.38984126984127</v>
      </c>
      <c r="D36" s="22">
        <f>+'Conto Economico'!D8/SUM('Stato Patrimoniale'!D13,'Stato Patrimoniale'!D15)</f>
        <v>10.433757661480431</v>
      </c>
      <c r="E36" s="22">
        <f>+'Conto Economico'!E8/SUM('Stato Patrimoniale'!E13,'Stato Patrimoniale'!E15)</f>
        <v>12.246398046398047</v>
      </c>
      <c r="F36" s="22">
        <f>AVERAGE(B36:E36)</f>
        <v>10.156428216692243</v>
      </c>
      <c r="G36" s="21"/>
    </row>
    <row r="37" spans="1:7" s="18" customFormat="1" ht="12.75" x14ac:dyDescent="0.2">
      <c r="A37" s="15"/>
      <c r="B37" s="35"/>
      <c r="C37" s="35"/>
      <c r="D37" s="35"/>
      <c r="E37" s="35"/>
      <c r="F37" s="30"/>
      <c r="G37" s="21"/>
    </row>
    <row r="38" spans="1:7" s="18" customFormat="1" ht="12.75" x14ac:dyDescent="0.2">
      <c r="A38" s="20" t="s">
        <v>94</v>
      </c>
      <c r="B38" s="35"/>
      <c r="C38" s="35"/>
      <c r="D38" s="35"/>
      <c r="E38" s="35"/>
      <c r="F38" s="30"/>
      <c r="G38" s="21"/>
    </row>
    <row r="39" spans="1:7" s="18" customFormat="1" ht="12.75" x14ac:dyDescent="0.2">
      <c r="A39" s="18" t="s">
        <v>95</v>
      </c>
      <c r="B39" s="22">
        <f>+('Stato Patrimoniale'!B8/'Conto Economico'!B8)*365</f>
        <v>88.877984084880637</v>
      </c>
      <c r="C39" s="22">
        <f>+('Stato Patrimoniale'!C8/'Conto Economico'!C8)*365</f>
        <v>94.618064043021263</v>
      </c>
      <c r="D39" s="22">
        <f>+('Stato Patrimoniale'!D8/'Conto Economico'!D8)*365</f>
        <v>110.66278807049255</v>
      </c>
      <c r="E39" s="22">
        <f>+('Stato Patrimoniale'!E8/'Conto Economico'!E8)*365</f>
        <v>111.42365750064806</v>
      </c>
      <c r="F39" s="22">
        <f>AVERAGE(B39:E39)</f>
        <v>101.39562342476063</v>
      </c>
      <c r="G39" s="21"/>
    </row>
    <row r="40" spans="1:7" s="18" customFormat="1" ht="12.75" x14ac:dyDescent="0.2">
      <c r="A40" s="18" t="s">
        <v>96</v>
      </c>
      <c r="B40" s="22">
        <f>+('Stato Patrimoniale'!B7/'Conto Economico'!B10)*365</f>
        <v>97.673525647336817</v>
      </c>
      <c r="C40" s="22">
        <f>+('Stato Patrimoniale'!C7/'Conto Economico'!C10)*365</f>
        <v>101.616</v>
      </c>
      <c r="D40" s="22">
        <f>+('Stato Patrimoniale'!D7/'Conto Economico'!D10)*365</f>
        <v>99.087545454545449</v>
      </c>
      <c r="E40" s="22">
        <f>+('Stato Patrimoniale'!E7/'Conto Economico'!E10)*365</f>
        <v>91.432500000000005</v>
      </c>
      <c r="F40" s="22">
        <f>AVERAGE(B40:E40)</f>
        <v>97.452392775470571</v>
      </c>
      <c r="G40" s="21"/>
    </row>
    <row r="41" spans="1:7" s="18" customFormat="1" ht="12.75" x14ac:dyDescent="0.2">
      <c r="A41" s="18" t="s">
        <v>97</v>
      </c>
      <c r="B41" s="22">
        <f>+('Stato Patrimoniale'!B23/'Conto Economico'!B10)*365</f>
        <v>175.94171507334843</v>
      </c>
      <c r="C41" s="22">
        <f>+('Stato Patrimoniale'!C23/'Conto Economico'!C10)*365</f>
        <v>175.01798666666667</v>
      </c>
      <c r="D41" s="22">
        <f>+('Stato Patrimoniale'!D23/'Conto Economico'!D10)*365</f>
        <v>171.68186454545423</v>
      </c>
      <c r="E41" s="22">
        <f>+('Stato Patrimoniale'!E23/'Conto Economico'!E10)*365</f>
        <v>99.71578392857144</v>
      </c>
      <c r="F41" s="22">
        <f>AVERAGE(B41:E41)</f>
        <v>155.58933755351021</v>
      </c>
      <c r="G41" s="21"/>
    </row>
    <row r="42" spans="1:7" s="18" customFormat="1" ht="12.75" x14ac:dyDescent="0.2">
      <c r="A42" s="18" t="s">
        <v>98</v>
      </c>
      <c r="B42" s="22">
        <f>+B39+B40-B41</f>
        <v>10.609794658869021</v>
      </c>
      <c r="C42" s="22">
        <f t="shared" ref="C42:D42" si="4">+C39+C40-C41</f>
        <v>21.216077376354576</v>
      </c>
      <c r="D42" s="22">
        <f t="shared" si="4"/>
        <v>38.06846897958377</v>
      </c>
      <c r="E42" s="22">
        <f>+E39+E40-E41</f>
        <v>103.14037357207663</v>
      </c>
      <c r="F42" s="22">
        <f>AVERAGE(B42:E42)</f>
        <v>43.258678646720995</v>
      </c>
      <c r="G42" s="21"/>
    </row>
    <row r="43" spans="1:7" s="18" customFormat="1" ht="12.75" x14ac:dyDescent="0.2">
      <c r="A43" s="15"/>
      <c r="B43" s="35"/>
      <c r="C43" s="35"/>
      <c r="D43" s="35"/>
      <c r="E43" s="35"/>
      <c r="F43" s="30"/>
      <c r="G43" s="21"/>
    </row>
    <row r="44" spans="1:7" s="13" customFormat="1" ht="12.75" x14ac:dyDescent="0.2">
      <c r="A44" s="26" t="s">
        <v>100</v>
      </c>
      <c r="B44" s="36"/>
      <c r="C44" s="36"/>
      <c r="D44" s="36"/>
      <c r="E44" s="36"/>
      <c r="F44" s="30"/>
      <c r="G44" s="23"/>
    </row>
    <row r="45" spans="1:7" s="13" customFormat="1" ht="12.75" x14ac:dyDescent="0.2">
      <c r="A45" s="13" t="s">
        <v>101</v>
      </c>
      <c r="B45" s="36"/>
      <c r="C45" s="36">
        <f>+'Conto Economico'!C8/'Conto Economico'!B8-1</f>
        <v>4.1740053050397963E-2</v>
      </c>
      <c r="D45" s="36">
        <f>+'Conto Economico'!D8/'Conto Economico'!C8-1</f>
        <v>1.4269127352725564E-2</v>
      </c>
      <c r="E45" s="36">
        <f>+'Conto Economico'!E8/'Conto Economico'!D8-1</f>
        <v>7.1597128081537509E-3</v>
      </c>
      <c r="F45" s="30">
        <f>AVERAGE(B45:E45)</f>
        <v>2.1056297737092427E-2</v>
      </c>
      <c r="G45" s="23"/>
    </row>
    <row r="46" spans="1:7" s="13" customFormat="1" ht="12.75" x14ac:dyDescent="0.2">
      <c r="A46" s="13" t="s">
        <v>6</v>
      </c>
      <c r="B46" s="37">
        <f>+'Conto Economico'!B25</f>
        <v>35030</v>
      </c>
      <c r="C46" s="37">
        <f>+'Conto Economico'!C25</f>
        <v>36898</v>
      </c>
      <c r="D46" s="37">
        <f>+'Conto Economico'!D25</f>
        <v>30460</v>
      </c>
      <c r="E46" s="37">
        <f>+'Conto Economico'!E25</f>
        <v>26266</v>
      </c>
      <c r="F46" s="22">
        <f>AVERAGE(B46:E46)</f>
        <v>32163.5</v>
      </c>
      <c r="G46" s="23"/>
    </row>
    <row r="47" spans="1:7" s="13" customFormat="1" ht="12.75" x14ac:dyDescent="0.2">
      <c r="A47" s="13" t="s">
        <v>102</v>
      </c>
      <c r="B47" s="36"/>
      <c r="C47" s="37">
        <f>+'Conto Economico'!C10+'Stato Patrimoniale'!C7-'Stato Patrimoniale'!B7</f>
        <v>107052</v>
      </c>
      <c r="D47" s="37">
        <f>+'Conto Economico'!D10+'Stato Patrimoniale'!D7-'Stato Patrimoniale'!C7</f>
        <v>110630</v>
      </c>
      <c r="E47" s="37">
        <f>+'Conto Economico'!E10+'Stato Patrimoniale'!E7-'Stato Patrimoniale'!D7</f>
        <v>110194</v>
      </c>
      <c r="F47" s="22">
        <f>AVERAGE(B47:E47)</f>
        <v>109292</v>
      </c>
      <c r="G47" s="23"/>
    </row>
    <row r="48" spans="1:7" s="13" customFormat="1" ht="12.75" x14ac:dyDescent="0.2">
      <c r="B48" s="36"/>
      <c r="C48" s="36"/>
      <c r="D48" s="36"/>
      <c r="E48" s="36"/>
      <c r="F48" s="36"/>
      <c r="G48" s="23"/>
    </row>
    <row r="49" spans="2:7" s="13" customFormat="1" ht="12.75" x14ac:dyDescent="0.2">
      <c r="B49" s="36"/>
      <c r="C49" s="36"/>
      <c r="D49" s="36"/>
      <c r="E49" s="36"/>
      <c r="F49" s="36"/>
      <c r="G49" s="23"/>
    </row>
    <row r="50" spans="2:7" s="13" customFormat="1" ht="12.75" x14ac:dyDescent="0.2">
      <c r="B50" s="23"/>
      <c r="C50" s="23"/>
      <c r="D50" s="23"/>
      <c r="E50" s="23"/>
      <c r="F50" s="23"/>
      <c r="G50" s="23"/>
    </row>
    <row r="51" spans="2:7" s="13" customFormat="1" ht="12.75" x14ac:dyDescent="0.2">
      <c r="B51" s="23"/>
      <c r="C51" s="23"/>
      <c r="D51" s="23"/>
      <c r="E51" s="23"/>
      <c r="F51" s="23"/>
      <c r="G51" s="23"/>
    </row>
    <row r="52" spans="2:7" s="13" customFormat="1" ht="12.75" x14ac:dyDescent="0.2">
      <c r="B52" s="23"/>
      <c r="C52" s="23"/>
      <c r="D52" s="23"/>
      <c r="E52" s="23"/>
      <c r="F52" s="23"/>
      <c r="G52" s="23"/>
    </row>
    <row r="53" spans="2:7" s="13" customFormat="1" ht="12.75" x14ac:dyDescent="0.2">
      <c r="B53" s="23"/>
      <c r="C53" s="23"/>
      <c r="D53" s="23"/>
      <c r="E53" s="23"/>
      <c r="F53" s="23"/>
      <c r="G53" s="23"/>
    </row>
    <row r="54" spans="2:7" s="13" customFormat="1" ht="12.75" x14ac:dyDescent="0.2">
      <c r="B54" s="23"/>
      <c r="C54" s="23"/>
      <c r="D54" s="23"/>
      <c r="E54" s="23"/>
      <c r="F54" s="23"/>
      <c r="G54" s="23"/>
    </row>
    <row r="55" spans="2:7" s="13" customFormat="1" ht="12.75" x14ac:dyDescent="0.2">
      <c r="B55" s="23"/>
      <c r="C55" s="23"/>
      <c r="D55" s="23"/>
      <c r="E55" s="23"/>
      <c r="F55" s="23"/>
      <c r="G55" s="23"/>
    </row>
    <row r="56" spans="2:7" s="13" customFormat="1" ht="12.75" x14ac:dyDescent="0.2">
      <c r="B56" s="23"/>
      <c r="C56" s="23"/>
      <c r="D56" s="23"/>
      <c r="E56" s="23"/>
      <c r="F56" s="23"/>
      <c r="G56" s="23"/>
    </row>
    <row r="57" spans="2:7" s="13" customFormat="1" ht="12.75" x14ac:dyDescent="0.2">
      <c r="B57" s="23"/>
      <c r="C57" s="23"/>
      <c r="D57" s="23"/>
      <c r="E57" s="23"/>
      <c r="F57" s="23"/>
      <c r="G57" s="23"/>
    </row>
    <row r="58" spans="2:7" s="13" customFormat="1" ht="12.75" x14ac:dyDescent="0.2">
      <c r="B58" s="23"/>
      <c r="C58" s="23"/>
      <c r="D58" s="23"/>
      <c r="E58" s="23"/>
      <c r="F58" s="23"/>
      <c r="G58" s="23"/>
    </row>
    <row r="59" spans="2:7" x14ac:dyDescent="0.3">
      <c r="B59" s="24"/>
      <c r="C59" s="24"/>
      <c r="D59" s="24"/>
      <c r="E59" s="24"/>
      <c r="F59" s="24"/>
      <c r="G59" s="24"/>
    </row>
  </sheetData>
  <sheetProtection sheet="1" objects="1" scenarios="1"/>
  <conditionalFormatting sqref="A1:A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E60"/>
  <sheetViews>
    <sheetView showGridLines="0" zoomScale="175" zoomScaleNormal="175" workbookViewId="0">
      <pane ySplit="3" topLeftCell="A19" activePane="bottomLeft" state="frozen"/>
      <selection pane="bottomLeft" activeCell="A16" sqref="A16"/>
    </sheetView>
  </sheetViews>
  <sheetFormatPr defaultColWidth="9.140625" defaultRowHeight="12.75" x14ac:dyDescent="0.2"/>
  <cols>
    <col min="1" max="1" width="51.42578125" style="13" customWidth="1"/>
    <col min="2" max="5" width="16.140625" style="13" customWidth="1"/>
    <col min="6" max="16384" width="9.140625" style="13"/>
  </cols>
  <sheetData>
    <row r="1" spans="1:5" ht="18" x14ac:dyDescent="0.25">
      <c r="A1" s="56" t="str">
        <f>INDEX!B3</f>
        <v>Atena spa</v>
      </c>
      <c r="B1" s="57"/>
      <c r="C1" s="57"/>
      <c r="D1" s="57"/>
      <c r="E1" s="58"/>
    </row>
    <row r="2" spans="1:5" ht="16.5" x14ac:dyDescent="0.3">
      <c r="A2" s="59" t="s">
        <v>12</v>
      </c>
      <c r="B2" s="57"/>
      <c r="C2" s="57"/>
      <c r="D2" s="57"/>
      <c r="E2" s="57"/>
    </row>
    <row r="3" spans="1:5" s="16" customFormat="1" x14ac:dyDescent="0.2">
      <c r="A3" s="65"/>
      <c r="B3" s="63">
        <f>+INDEX!B4</f>
        <v>2016</v>
      </c>
      <c r="C3" s="63">
        <f>+B3+1</f>
        <v>2017</v>
      </c>
      <c r="D3" s="63">
        <f>+C3+1</f>
        <v>2018</v>
      </c>
      <c r="E3" s="63">
        <f>+D3+1</f>
        <v>2019</v>
      </c>
    </row>
    <row r="4" spans="1:5" s="43" customFormat="1" x14ac:dyDescent="0.2">
      <c r="A4" s="42"/>
      <c r="B4" s="72"/>
      <c r="C4" s="72"/>
      <c r="D4" s="72"/>
      <c r="E4" s="72"/>
    </row>
    <row r="5" spans="1:5" s="43" customFormat="1" x14ac:dyDescent="0.2">
      <c r="A5" s="44" t="s">
        <v>18</v>
      </c>
      <c r="B5" s="73"/>
      <c r="C5" s="73"/>
      <c r="D5" s="73"/>
      <c r="E5" s="73"/>
    </row>
    <row r="6" spans="1:5" x14ac:dyDescent="0.2">
      <c r="A6" s="3" t="s">
        <v>52</v>
      </c>
      <c r="B6" s="74"/>
      <c r="C6" s="74"/>
      <c r="D6" s="74"/>
      <c r="E6" s="74"/>
    </row>
    <row r="7" spans="1:5" x14ac:dyDescent="0.2">
      <c r="A7" s="4" t="s">
        <v>53</v>
      </c>
      <c r="B7" s="74"/>
      <c r="C7" s="74"/>
      <c r="D7" s="74"/>
      <c r="E7" s="74"/>
    </row>
    <row r="8" spans="1:5" x14ac:dyDescent="0.2">
      <c r="A8" s="5" t="s">
        <v>54</v>
      </c>
      <c r="B8" s="75">
        <f>+'Stato Patrimoniale'!B6/'Stato Patrimoniale'!B$19</f>
        <v>2.6161523182016377E-2</v>
      </c>
      <c r="C8" s="75">
        <f>+'Stato Patrimoniale'!C6/'Stato Patrimoniale'!C$19</f>
        <v>2.8181164629762761E-2</v>
      </c>
      <c r="D8" s="75">
        <f>+'Stato Patrimoniale'!D6/'Stato Patrimoniale'!D$19</f>
        <v>1.9859329747621019E-2</v>
      </c>
      <c r="E8" s="75">
        <f>+'Stato Patrimoniale'!E6/'Stato Patrimoniale'!E$19</f>
        <v>3.7454614943626979E-2</v>
      </c>
    </row>
    <row r="9" spans="1:5" x14ac:dyDescent="0.2">
      <c r="A9" s="5" t="s">
        <v>55</v>
      </c>
      <c r="B9" s="75">
        <f>+'Stato Patrimoniale'!B8/'Stato Patrimoniale'!B$19</f>
        <v>0.24708105227459909</v>
      </c>
      <c r="C9" s="75">
        <f>+'Stato Patrimoniale'!C8/'Stato Patrimoniale'!C$19</f>
        <v>0.24396836808051761</v>
      </c>
      <c r="D9" s="75">
        <f>+'Stato Patrimoniale'!D8/'Stato Patrimoniale'!D$19</f>
        <v>0.2643773272652048</v>
      </c>
      <c r="E9" s="75">
        <f>+'Stato Patrimoniale'!E8/'Stato Patrimoniale'!E$19</f>
        <v>0.27861647238677623</v>
      </c>
    </row>
    <row r="10" spans="1:5" x14ac:dyDescent="0.2">
      <c r="A10" s="5" t="s">
        <v>56</v>
      </c>
      <c r="B10" s="75">
        <f>+'Stato Patrimoniale'!B7/'Stato Patrimoniale'!B$19</f>
        <v>0.14631074075868417</v>
      </c>
      <c r="C10" s="75">
        <f>+'Stato Patrimoniale'!C7/'Stato Patrimoniale'!C$19</f>
        <v>0.14010064701653488</v>
      </c>
      <c r="D10" s="75">
        <f>+'Stato Patrimoniale'!D7/'Stato Patrimoniale'!D$19</f>
        <v>0.1307405875051717</v>
      </c>
      <c r="E10" s="75">
        <f>+'Stato Patrimoniale'!E7/'Stato Patrimoniale'!E$19</f>
        <v>0.12765144276705523</v>
      </c>
    </row>
    <row r="11" spans="1:5" x14ac:dyDescent="0.2">
      <c r="A11" s="6" t="s">
        <v>57</v>
      </c>
      <c r="B11" s="76">
        <f>+'Stato Patrimoniale'!B9/'Stato Patrimoniale'!B$19</f>
        <v>7.0733007121747973E-2</v>
      </c>
      <c r="C11" s="76">
        <f>+'Stato Patrimoniale'!C9/'Stato Patrimoniale'!C$19</f>
        <v>3.864845434938894E-2</v>
      </c>
      <c r="D11" s="76">
        <f>+'Stato Patrimoniale'!D9/'Stato Patrimoniale'!D$19</f>
        <v>8.1919735208936681E-2</v>
      </c>
      <c r="E11" s="76">
        <f>+'Stato Patrimoniale'!E9/'Stato Patrimoniale'!E$19</f>
        <v>4.8920313395757677E-2</v>
      </c>
    </row>
    <row r="12" spans="1:5" x14ac:dyDescent="0.2">
      <c r="A12" s="5" t="s">
        <v>58</v>
      </c>
      <c r="B12" s="77">
        <f>SUM(B8:B11)</f>
        <v>0.49028632333704758</v>
      </c>
      <c r="C12" s="77">
        <f>SUM(C8:C11)</f>
        <v>0.45089863407620417</v>
      </c>
      <c r="D12" s="77">
        <f>SUM(D8:D11)</f>
        <v>0.4968969797269342</v>
      </c>
      <c r="E12" s="77">
        <f>SUM(E8:E11)</f>
        <v>0.49264284349321613</v>
      </c>
    </row>
    <row r="13" spans="1:5" x14ac:dyDescent="0.2">
      <c r="A13" s="7"/>
      <c r="B13" s="77"/>
      <c r="C13" s="77"/>
      <c r="D13" s="77"/>
      <c r="E13" s="77"/>
    </row>
    <row r="14" spans="1:5" x14ac:dyDescent="0.2">
      <c r="A14" s="7" t="s">
        <v>59</v>
      </c>
      <c r="B14" s="75">
        <f>+'Stato Patrimoniale'!B13/'Stato Patrimoniale'!B$19</f>
        <v>9.5634901409815412E-2</v>
      </c>
      <c r="C14" s="75">
        <f>+'Stato Patrimoniale'!C13/'Stato Patrimoniale'!C$19</f>
        <v>6.9015097052480226E-2</v>
      </c>
      <c r="D14" s="75">
        <f>+'Stato Patrimoniale'!D13/'Stato Patrimoniale'!D$19</f>
        <v>6.7852709971038483E-2</v>
      </c>
      <c r="E14" s="75">
        <f>+'Stato Patrimoniale'!E13/'Stato Patrimoniale'!E$19</f>
        <v>6.0604406104119463E-2</v>
      </c>
    </row>
    <row r="15" spans="1:5" x14ac:dyDescent="0.2">
      <c r="A15" s="7" t="s">
        <v>63</v>
      </c>
      <c r="B15" s="75">
        <f>+'Stato Patrimoniale'!B14/'Stato Patrimoniale'!B$19</f>
        <v>3.5608739886633399E-2</v>
      </c>
      <c r="C15" s="75">
        <f>+'Stato Patrimoniale'!C14/'Stato Patrimoniale'!C$19</f>
        <v>3.01941049604601E-2</v>
      </c>
      <c r="D15" s="75">
        <f>+'Stato Patrimoniale'!D14/'Stato Patrimoniale'!D$19</f>
        <v>2.4824162184526273E-2</v>
      </c>
      <c r="E15" s="75">
        <f>+'Stato Patrimoniale'!E14/'Stato Patrimoniale'!E$19</f>
        <v>0.10646719991264229</v>
      </c>
    </row>
    <row r="16" spans="1:5" x14ac:dyDescent="0.2">
      <c r="A16" s="7" t="s">
        <v>60</v>
      </c>
      <c r="B16" s="75">
        <f>+'Stato Patrimoniale'!B15/'Stato Patrimoniale'!B$19</f>
        <v>3.8660917591201979E-2</v>
      </c>
      <c r="C16" s="75">
        <f>+'Stato Patrimoniale'!C15/'Stato Patrimoniale'!C$19</f>
        <v>2.1567217828900073E-2</v>
      </c>
      <c r="D16" s="75">
        <f>+'Stato Patrimoniale'!D15/'Stato Patrimoniale'!D$19</f>
        <v>1.5721969383533322E-2</v>
      </c>
      <c r="E16" s="75">
        <f>+'Stato Patrimoniale'!E15/'Stato Patrimoniale'!E$19</f>
        <v>1.3922633834730141E-2</v>
      </c>
    </row>
    <row r="17" spans="1:5" x14ac:dyDescent="0.2">
      <c r="A17" s="7" t="s">
        <v>61</v>
      </c>
      <c r="B17" s="75">
        <f>+'Stato Patrimoniale'!B16/'Stato Patrimoniale'!B$19</f>
        <v>0.33573954750254348</v>
      </c>
      <c r="C17" s="75">
        <f>+'Stato Patrimoniale'!C16/'Stato Patrimoniale'!C$19</f>
        <v>0.29892163910855502</v>
      </c>
      <c r="D17" s="75">
        <f>+'Stato Patrimoniale'!D16/'Stato Patrimoniale'!D$19</f>
        <v>0.27306578402978898</v>
      </c>
      <c r="E17" s="75">
        <f>+'Stato Patrimoniale'!E16/'Stato Patrimoniale'!E$19</f>
        <v>0.28377603669023505</v>
      </c>
    </row>
    <row r="18" spans="1:5" x14ac:dyDescent="0.2">
      <c r="A18" s="7" t="s">
        <v>62</v>
      </c>
      <c r="B18" s="75">
        <f>+'Stato Patrimoniale'!B17/'Stato Patrimoniale'!B$19</f>
        <v>4.0695702727581032E-3</v>
      </c>
      <c r="C18" s="75">
        <f>+'Stato Patrimoniale'!C17/'Stato Patrimoniale'!C$19</f>
        <v>0.12940330697340044</v>
      </c>
      <c r="D18" s="75">
        <f>+'Stato Patrimoniale'!D17/'Stato Patrimoniale'!D$19</f>
        <v>0.12163839470417874</v>
      </c>
      <c r="E18" s="75">
        <f>+'Stato Patrimoniale'!E17/'Stato Patrimoniale'!E$19</f>
        <v>4.258687996505691E-2</v>
      </c>
    </row>
    <row r="19" spans="1:5" ht="13.5" thickBot="1" x14ac:dyDescent="0.25">
      <c r="A19" s="8" t="s">
        <v>64</v>
      </c>
      <c r="B19" s="78">
        <f>SUM(B12:B18)</f>
        <v>0.99999999999999989</v>
      </c>
      <c r="C19" s="78">
        <f>SUM(C12:C18)</f>
        <v>1</v>
      </c>
      <c r="D19" s="78">
        <f>SUM(D12:D18)</f>
        <v>1</v>
      </c>
      <c r="E19" s="78">
        <f>SUM(E12:E18)</f>
        <v>1</v>
      </c>
    </row>
    <row r="20" spans="1:5" ht="13.5" thickTop="1" x14ac:dyDescent="0.2">
      <c r="A20" s="9"/>
      <c r="B20" s="79"/>
      <c r="C20" s="79"/>
      <c r="D20" s="79"/>
      <c r="E20" s="79"/>
    </row>
    <row r="21" spans="1:5" x14ac:dyDescent="0.2">
      <c r="A21" s="3" t="s">
        <v>67</v>
      </c>
      <c r="B21" s="77"/>
      <c r="C21" s="77"/>
      <c r="D21" s="77"/>
      <c r="E21" s="77"/>
    </row>
    <row r="22" spans="1:5" x14ac:dyDescent="0.2">
      <c r="A22" s="4" t="s">
        <v>68</v>
      </c>
      <c r="B22" s="77"/>
      <c r="C22" s="77"/>
      <c r="D22" s="77"/>
      <c r="E22" s="77"/>
    </row>
    <row r="23" spans="1:5" x14ac:dyDescent="0.2">
      <c r="A23" s="5" t="s">
        <v>69</v>
      </c>
      <c r="B23" s="77">
        <f>+'Stato Patrimoniale'!B23/'Stato Patrimoniale'!B$19</f>
        <v>0.26355312242623902</v>
      </c>
      <c r="C23" s="77">
        <f>+'Stato Patrimoniale'!C23/'Stato Patrimoniale'!C$19</f>
        <v>0.24130189312245387</v>
      </c>
      <c r="D23" s="77">
        <f>+'Stato Patrimoniale'!D23/'Stato Patrimoniale'!D$19</f>
        <v>0.22652481431132609</v>
      </c>
      <c r="E23" s="77">
        <f>+'Stato Patrimoniale'!E23/'Stato Patrimoniale'!E$19</f>
        <v>0.1392159646201305</v>
      </c>
    </row>
    <row r="24" spans="1:5" x14ac:dyDescent="0.2">
      <c r="A24" s="6" t="s">
        <v>70</v>
      </c>
      <c r="B24" s="76">
        <f>+'Stato Patrimoniale'!B24/'Stato Patrimoniale'!B$19</f>
        <v>8.1822047812067672E-2</v>
      </c>
      <c r="C24" s="76">
        <f>+'Stato Patrimoniale'!C24/'Stato Patrimoniale'!C$19</f>
        <v>5.8455787203450751E-2</v>
      </c>
      <c r="D24" s="76">
        <f>+'Stato Patrimoniale'!D24/'Stato Patrimoniale'!D$19</f>
        <v>6.6985834466182004E-2</v>
      </c>
      <c r="E24" s="76">
        <f>+'Stato Patrimoniale'!E24/'Stato Patrimoniale'!E$19</f>
        <v>6.4972291228740639E-2</v>
      </c>
    </row>
    <row r="25" spans="1:5" x14ac:dyDescent="0.2">
      <c r="A25" s="5" t="s">
        <v>71</v>
      </c>
      <c r="B25" s="77">
        <f>SUM(B23:B24)</f>
        <v>0.34537517023830666</v>
      </c>
      <c r="C25" s="77">
        <f t="shared" ref="C25:E25" si="0">SUM(C23:C24)</f>
        <v>0.29975768032590461</v>
      </c>
      <c r="D25" s="77">
        <f t="shared" si="0"/>
        <v>0.2935106487775081</v>
      </c>
      <c r="E25" s="77">
        <f t="shared" si="0"/>
        <v>0.20418825584887113</v>
      </c>
    </row>
    <row r="26" spans="1:5" x14ac:dyDescent="0.2">
      <c r="A26" s="5"/>
      <c r="B26" s="77"/>
      <c r="C26" s="77"/>
      <c r="D26" s="77"/>
      <c r="E26" s="77"/>
    </row>
    <row r="27" spans="1:5" x14ac:dyDescent="0.2">
      <c r="A27" s="4" t="s">
        <v>72</v>
      </c>
      <c r="B27" s="75">
        <f>+'Stato Patrimoniale'!B27/'Stato Patrimoniale'!B$19</f>
        <v>0.13457573653300606</v>
      </c>
      <c r="C27" s="75">
        <f>+'Stato Patrimoniale'!C27/'Stato Patrimoniale'!C$19</f>
        <v>0.12125569134914929</v>
      </c>
      <c r="D27" s="75">
        <f>+'Stato Patrimoniale'!D27/'Stato Patrimoniale'!D$19</f>
        <v>9.1941341424171374E-2</v>
      </c>
      <c r="E27" s="75">
        <f>+'Stato Patrimoniale'!E27/'Stato Patrimoniale'!E$19</f>
        <v>8.1897846086647921E-2</v>
      </c>
    </row>
    <row r="28" spans="1:5" x14ac:dyDescent="0.2">
      <c r="A28" s="4" t="s">
        <v>78</v>
      </c>
      <c r="B28" s="76">
        <f>+'Stato Patrimoniale'!B28/'Stato Patrimoniale'!B$19</f>
        <v>2.8034817434555818E-2</v>
      </c>
      <c r="C28" s="76">
        <f>+'Stato Patrimoniale'!C28/'Stato Patrimoniale'!C$19</f>
        <v>2.5679367361610351E-2</v>
      </c>
      <c r="D28" s="76">
        <f>+'Stato Patrimoniale'!D28/'Stato Patrimoniale'!D$19</f>
        <v>2.4114900407825521E-2</v>
      </c>
      <c r="E28" s="76">
        <f>+'Stato Patrimoniale'!E28/'Stato Patrimoniale'!E$19</f>
        <v>2.574322295323633E-2</v>
      </c>
    </row>
    <row r="29" spans="1:5" x14ac:dyDescent="0.2">
      <c r="A29" s="10" t="s">
        <v>73</v>
      </c>
      <c r="B29" s="77">
        <f>SUM(B25:B28)</f>
        <v>0.50798572420586852</v>
      </c>
      <c r="C29" s="77">
        <f>SUM(C25:C28)</f>
        <v>0.44669273903666429</v>
      </c>
      <c r="D29" s="77">
        <f t="shared" ref="D29:E29" si="1">SUM(D25:D28)</f>
        <v>0.40956689060950502</v>
      </c>
      <c r="E29" s="77">
        <f t="shared" si="1"/>
        <v>0.31182932488875537</v>
      </c>
    </row>
    <row r="30" spans="1:5" x14ac:dyDescent="0.2">
      <c r="A30" s="9"/>
      <c r="B30" s="79"/>
      <c r="C30" s="79"/>
      <c r="D30" s="79"/>
      <c r="E30" s="79"/>
    </row>
    <row r="31" spans="1:5" x14ac:dyDescent="0.2">
      <c r="A31" s="3" t="s">
        <v>74</v>
      </c>
      <c r="B31" s="77"/>
      <c r="C31" s="77"/>
      <c r="D31" s="77"/>
      <c r="E31" s="77"/>
    </row>
    <row r="32" spans="1:5" x14ac:dyDescent="0.2">
      <c r="A32" s="4" t="s">
        <v>75</v>
      </c>
      <c r="B32" s="75">
        <f>+'Stato Patrimoniale'!B32/'Stato Patrimoniale'!B$19</f>
        <v>5.8330507242866141E-2</v>
      </c>
      <c r="C32" s="75">
        <f>+'Stato Patrimoniale'!C32/'Stato Patrimoniale'!C$19</f>
        <v>5.1933860531991373E-2</v>
      </c>
      <c r="D32" s="75">
        <f>+'Stato Patrimoniale'!D32/'Stato Patrimoniale'!D$19</f>
        <v>4.7441732174872429E-2</v>
      </c>
      <c r="E32" s="75">
        <f>+'Stato Patrimoniale'!E32/'Stato Patrimoniale'!E$19</f>
        <v>4.9302503344162051E-2</v>
      </c>
    </row>
    <row r="33" spans="1:5" x14ac:dyDescent="0.2">
      <c r="A33" s="4" t="s">
        <v>76</v>
      </c>
      <c r="B33" s="76">
        <f>+'Stato Patrimoniale'!B33/'Stato Patrimoniale'!B$19</f>
        <v>0.43368376855126528</v>
      </c>
      <c r="C33" s="76">
        <f>+'Stato Patrimoniale'!C33/'Stato Patrimoniale'!C$19</f>
        <v>0.50137340043134437</v>
      </c>
      <c r="D33" s="76">
        <f>+'Stato Patrimoniale'!D33/'Stato Patrimoniale'!D$19</f>
        <v>0.54299137721562207</v>
      </c>
      <c r="E33" s="76">
        <f>+'Stato Patrimoniale'!E33/'Stato Patrimoniale'!E$19</f>
        <v>0.63886817176708255</v>
      </c>
    </row>
    <row r="34" spans="1:5" x14ac:dyDescent="0.2">
      <c r="A34" s="11" t="s">
        <v>77</v>
      </c>
      <c r="B34" s="80">
        <f>SUM(B32:B33)</f>
        <v>0.49201427579413143</v>
      </c>
      <c r="C34" s="80">
        <f>SUM(C32:C33)</f>
        <v>0.55330726096333571</v>
      </c>
      <c r="D34" s="80">
        <f t="shared" ref="D34:E34" si="2">SUM(D32:D33)</f>
        <v>0.59043310939049454</v>
      </c>
      <c r="E34" s="80">
        <f t="shared" si="2"/>
        <v>0.68817067511124463</v>
      </c>
    </row>
    <row r="35" spans="1:5" ht="13.5" thickBot="1" x14ac:dyDescent="0.25">
      <c r="A35" s="8" t="s">
        <v>104</v>
      </c>
      <c r="B35" s="78">
        <f>B29+B34</f>
        <v>1</v>
      </c>
      <c r="C35" s="78">
        <f>C29+C34</f>
        <v>1</v>
      </c>
      <c r="D35" s="78">
        <f t="shared" ref="D35:E35" si="3">D29+D34</f>
        <v>0.99999999999999956</v>
      </c>
      <c r="E35" s="78">
        <f t="shared" si="3"/>
        <v>1</v>
      </c>
    </row>
    <row r="36" spans="1:5" ht="13.5" thickTop="1" x14ac:dyDescent="0.2">
      <c r="A36" s="4"/>
      <c r="B36" s="77"/>
      <c r="C36" s="77"/>
      <c r="D36" s="77"/>
      <c r="E36" s="77"/>
    </row>
    <row r="37" spans="1:5" x14ac:dyDescent="0.2">
      <c r="A37" s="44" t="s">
        <v>19</v>
      </c>
      <c r="B37" s="81"/>
      <c r="C37" s="81"/>
      <c r="D37" s="81"/>
      <c r="E37" s="81"/>
    </row>
    <row r="38" spans="1:5" x14ac:dyDescent="0.2">
      <c r="A38" s="14" t="s">
        <v>39</v>
      </c>
      <c r="B38" s="82">
        <v>1</v>
      </c>
      <c r="C38" s="82">
        <v>1</v>
      </c>
      <c r="D38" s="82">
        <v>1</v>
      </c>
      <c r="E38" s="82">
        <v>1</v>
      </c>
    </row>
    <row r="39" spans="1:5" x14ac:dyDescent="0.2">
      <c r="A39" s="15"/>
      <c r="B39" s="79"/>
      <c r="C39" s="79"/>
      <c r="D39" s="79"/>
      <c r="E39" s="79"/>
    </row>
    <row r="40" spans="1:5" x14ac:dyDescent="0.2">
      <c r="A40" s="13" t="s">
        <v>38</v>
      </c>
      <c r="B40" s="77">
        <f>+'Conto Economico'!B10/'Conto Economico'!B8</f>
        <v>0.53883289124668432</v>
      </c>
      <c r="C40" s="77">
        <f>+'Conto Economico'!C10/'Conto Economico'!C8</f>
        <v>0.53471033977022731</v>
      </c>
      <c r="D40" s="77">
        <f>+'Conto Economico'!D10/'Conto Economico'!D8</f>
        <v>0.55229201184917409</v>
      </c>
      <c r="E40" s="77">
        <f>+'Conto Economico'!E10/'Conto Economico'!E8</f>
        <v>0.55833615824841976</v>
      </c>
    </row>
    <row r="41" spans="1:5" x14ac:dyDescent="0.2">
      <c r="A41" s="14" t="s">
        <v>29</v>
      </c>
      <c r="B41" s="82">
        <f>B38-B40</f>
        <v>0.46116710875331568</v>
      </c>
      <c r="C41" s="82">
        <f>C38-C40</f>
        <v>0.46528966022977269</v>
      </c>
      <c r="D41" s="82">
        <f>D38-D40</f>
        <v>0.44770798815082591</v>
      </c>
      <c r="E41" s="82">
        <f>E38-E40</f>
        <v>0.44166384175158024</v>
      </c>
    </row>
    <row r="42" spans="1:5" x14ac:dyDescent="0.2">
      <c r="B42" s="77"/>
      <c r="C42" s="77"/>
      <c r="D42" s="77"/>
      <c r="E42" s="77"/>
    </row>
    <row r="43" spans="1:5" x14ac:dyDescent="0.2">
      <c r="A43" s="13" t="s">
        <v>40</v>
      </c>
      <c r="B43" s="77">
        <f>+'Conto Economico'!B14/'Conto Economico'!B$8</f>
        <v>4.6153846153846156E-2</v>
      </c>
      <c r="C43" s="77">
        <f>+'Conto Economico'!C14/'Conto Economico'!C$8</f>
        <v>3.3152041065754097E-2</v>
      </c>
      <c r="D43" s="77">
        <f>+'Conto Economico'!D14/'Conto Economico'!D$8</f>
        <v>2.9522518451574029E-2</v>
      </c>
      <c r="E43" s="77">
        <f>+'Conto Economico'!E14/'Conto Economico'!E$8</f>
        <v>2.8265768011326253E-2</v>
      </c>
    </row>
    <row r="44" spans="1:5" x14ac:dyDescent="0.2">
      <c r="A44" s="13" t="s">
        <v>41</v>
      </c>
      <c r="B44" s="77">
        <f>+'Conto Economico'!B22/'Conto Economico'!B$8</f>
        <v>5.19893899204244E-2</v>
      </c>
      <c r="C44" s="77">
        <f>+'Conto Economico'!C22/'Conto Economico'!C$8</f>
        <v>4.9906298378554551E-2</v>
      </c>
      <c r="D44" s="77">
        <f>+'Conto Economico'!D22/'Conto Economico'!D$8</f>
        <v>4.0668775417984637E-2</v>
      </c>
      <c r="E44" s="77">
        <f>+'Conto Economico'!E22/'Conto Economico'!E$8</f>
        <v>4.1875211868631475E-2</v>
      </c>
    </row>
    <row r="45" spans="1:5" x14ac:dyDescent="0.2">
      <c r="A45" s="13" t="s">
        <v>42</v>
      </c>
      <c r="B45" s="77">
        <f>+'Conto Economico'!B16/'Conto Economico'!B$8</f>
        <v>5.3713527851458887E-3</v>
      </c>
      <c r="C45" s="77">
        <f>+'Conto Economico'!C16/'Conto Economico'!C$8</f>
        <v>4.2776827181618187E-3</v>
      </c>
      <c r="D45" s="77">
        <f>+'Conto Economico'!D16/'Conto Economico'!D$8</f>
        <v>5.0835969272480797E-3</v>
      </c>
      <c r="E45" s="77">
        <f>+'Conto Economico'!E16/'Conto Economico'!E$8</f>
        <v>4.1875211868631478E-3</v>
      </c>
    </row>
    <row r="46" spans="1:5" x14ac:dyDescent="0.2">
      <c r="A46" s="13" t="s">
        <v>44</v>
      </c>
      <c r="B46" s="77">
        <f>+'Conto Economico'!B15/'Conto Economico'!B$8</f>
        <v>1.0742705570291777E-2</v>
      </c>
      <c r="C46" s="77">
        <f>+'Conto Economico'!C15/'Conto Economico'!C$8</f>
        <v>1.0694206795404547E-2</v>
      </c>
      <c r="D46" s="77">
        <f>+'Conto Economico'!D15/'Conto Economico'!D$8</f>
        <v>1.2426570266606417E-2</v>
      </c>
      <c r="E46" s="77">
        <f>+'Conto Economico'!E15/'Conto Economico'!E$8</f>
        <v>1.0468802967157869E-2</v>
      </c>
    </row>
    <row r="47" spans="1:5" x14ac:dyDescent="0.2">
      <c r="A47" s="13" t="s">
        <v>43</v>
      </c>
      <c r="B47" s="77">
        <f>+'Conto Economico'!B17/'Conto Economico'!B$8</f>
        <v>5.3713527851458887E-3</v>
      </c>
      <c r="C47" s="77">
        <f>+'Conto Economico'!C17/'Conto Economico'!C$8</f>
        <v>4.1249083353703253E-3</v>
      </c>
      <c r="D47" s="77">
        <f>+'Conto Economico'!D17/'Conto Economico'!D$8</f>
        <v>5.0835969272480797E-3</v>
      </c>
      <c r="E47" s="77">
        <f>+'Conto Economico'!E17/'Conto Economico'!E$8</f>
        <v>4.1875211868631478E-3</v>
      </c>
    </row>
    <row r="48" spans="1:5" x14ac:dyDescent="0.2">
      <c r="A48" s="13" t="s">
        <v>45</v>
      </c>
      <c r="B48" s="77">
        <f>+'Conto Economico'!B19/'Conto Economico'!B$8</f>
        <v>7.4270557029177718E-3</v>
      </c>
      <c r="C48" s="77">
        <f>+'Conto Economico'!C19/'Conto Economico'!C$8</f>
        <v>7.5623319481789306E-3</v>
      </c>
      <c r="D48" s="77">
        <f>+'Conto Economico'!D19/'Conto Economico'!D$8</f>
        <v>8.1337550835969274E-3</v>
      </c>
      <c r="E48" s="77">
        <f>+'Conto Economico'!E19/'Conto Economico'!E$8</f>
        <v>1.2462860675187939E-2</v>
      </c>
    </row>
    <row r="49" spans="1:5" x14ac:dyDescent="0.2">
      <c r="A49" s="13" t="s">
        <v>46</v>
      </c>
      <c r="B49" s="77">
        <f>+'Conto Economico'!B18/'Conto Economico'!B$8</f>
        <v>0.13766578249336869</v>
      </c>
      <c r="C49" s="77">
        <f>+'Conto Economico'!C18/'Conto Economico'!C$8</f>
        <v>0.15659374236128085</v>
      </c>
      <c r="D49" s="77">
        <f>+'Conto Economico'!D18/'Conto Economico'!D$8</f>
        <v>0.18526886579304111</v>
      </c>
      <c r="E49" s="77">
        <f>+'Conto Economico'!E18/'Conto Economico'!E$8</f>
        <v>0.20219745159424915</v>
      </c>
    </row>
    <row r="50" spans="1:5" x14ac:dyDescent="0.2">
      <c r="A50" s="13" t="s">
        <v>47</v>
      </c>
      <c r="B50" s="77">
        <f>+'Conto Economico'!B20/'Conto Economico'!B$8</f>
        <v>6.6312997347480109E-3</v>
      </c>
      <c r="C50" s="77">
        <f>+'Conto Economico'!C20/'Conto Economico'!C$8</f>
        <v>7.638719139574676E-3</v>
      </c>
      <c r="D50" s="77">
        <f>+'Conto Economico'!D20/'Conto Economico'!D$8</f>
        <v>3.7656273535170959E-3</v>
      </c>
      <c r="E50" s="77">
        <f>+'Conto Economico'!E20/'Conto Economico'!E$8</f>
        <v>3.5893038744541266E-3</v>
      </c>
    </row>
    <row r="51" spans="1:5" x14ac:dyDescent="0.2">
      <c r="A51" s="13" t="s">
        <v>48</v>
      </c>
      <c r="B51" s="77">
        <f>+'Conto Economico'!B21/'Conto Economico'!B$8</f>
        <v>2.6525198938992041E-3</v>
      </c>
      <c r="C51" s="77">
        <f>+'Conto Economico'!C21/'Conto Economico'!C$8</f>
        <v>2.7499388902468835E-3</v>
      </c>
      <c r="D51" s="77">
        <f>+'Conto Economico'!D21/'Conto Economico'!D$8</f>
        <v>4.0166691770849019E-3</v>
      </c>
      <c r="E51" s="77">
        <f>+'Conto Economico'!E21/'Conto Economico'!E$8</f>
        <v>2.7916807912420987E-3</v>
      </c>
    </row>
    <row r="52" spans="1:5" x14ac:dyDescent="0.2">
      <c r="A52" s="13" t="s">
        <v>49</v>
      </c>
      <c r="B52" s="77">
        <f>+'Conto Economico'!B23/'Conto Economico'!B$8</f>
        <v>1.3262599469496021E-3</v>
      </c>
      <c r="C52" s="77">
        <f>+'Conto Economico'!C23/'Conto Economico'!C$8</f>
        <v>6.8748472256172088E-4</v>
      </c>
      <c r="D52" s="77">
        <f>+'Conto Economico'!D23/'Conto Economico'!D$8</f>
        <v>8.0333383541698043E-4</v>
      </c>
      <c r="E52" s="77">
        <f>+'Conto Economico'!E23/'Conto Economico'!E$8</f>
        <v>6.9792019781052467E-4</v>
      </c>
    </row>
    <row r="53" spans="1:5" x14ac:dyDescent="0.2">
      <c r="A53" s="17" t="s">
        <v>30</v>
      </c>
      <c r="B53" s="83">
        <f>SUM(B43:B52)</f>
        <v>0.27533156498673744</v>
      </c>
      <c r="C53" s="83">
        <f>SUM(C43:C52)</f>
        <v>0.27738735435508843</v>
      </c>
      <c r="D53" s="83">
        <f>SUM(D43:D52)</f>
        <v>0.29477330923331824</v>
      </c>
      <c r="E53" s="83">
        <f>SUM(E43:E52)</f>
        <v>0.3107240423537857</v>
      </c>
    </row>
    <row r="54" spans="1:5" x14ac:dyDescent="0.2">
      <c r="A54" s="14" t="s">
        <v>86</v>
      </c>
      <c r="B54" s="82">
        <f>B41-B53</f>
        <v>0.18583554376657824</v>
      </c>
      <c r="C54" s="82">
        <f>C41-C53</f>
        <v>0.18790230587468426</v>
      </c>
      <c r="D54" s="82">
        <f>D41-D53</f>
        <v>0.15293467891750767</v>
      </c>
      <c r="E54" s="82">
        <f>E41-E53</f>
        <v>0.13093979939779454</v>
      </c>
    </row>
    <row r="55" spans="1:5" x14ac:dyDescent="0.2">
      <c r="A55" s="15"/>
      <c r="B55" s="79"/>
      <c r="C55" s="79"/>
      <c r="D55" s="79"/>
      <c r="E55" s="79"/>
    </row>
    <row r="56" spans="1:5" x14ac:dyDescent="0.2">
      <c r="A56" s="13" t="s">
        <v>50</v>
      </c>
      <c r="B56" s="77">
        <f>+'Conto Economico'!B28/'Conto Economico'!B$8</f>
        <v>1.8567639257294429E-2</v>
      </c>
      <c r="C56" s="77">
        <f>+'Conto Economico'!C28/'Conto Economico'!C$8</f>
        <v>1.782367799234091E-2</v>
      </c>
      <c r="D56" s="77">
        <f>+'Conto Economico'!D28/'Conto Economico'!D$8</f>
        <v>1.7572927649746446E-2</v>
      </c>
      <c r="E56" s="77">
        <f>+'Conto Economico'!E28/'Conto Economico'!E$8</f>
        <v>1.7448004945263117E-2</v>
      </c>
    </row>
    <row r="57" spans="1:5" x14ac:dyDescent="0.2">
      <c r="A57" s="14" t="s">
        <v>33</v>
      </c>
      <c r="B57" s="82">
        <f>B54-B56</f>
        <v>0.1672679045092838</v>
      </c>
      <c r="C57" s="82">
        <f>C54-C56</f>
        <v>0.17007862788234335</v>
      </c>
      <c r="D57" s="82">
        <f t="shared" ref="D57:E57" si="4">D54-D56</f>
        <v>0.13536175126776123</v>
      </c>
      <c r="E57" s="82">
        <f t="shared" si="4"/>
        <v>0.11349179445253142</v>
      </c>
    </row>
    <row r="58" spans="1:5" x14ac:dyDescent="0.2">
      <c r="A58" s="15"/>
      <c r="B58" s="79"/>
      <c r="C58" s="79"/>
      <c r="D58" s="79"/>
      <c r="E58" s="79"/>
    </row>
    <row r="59" spans="1:5" x14ac:dyDescent="0.2">
      <c r="A59" s="13" t="s">
        <v>51</v>
      </c>
      <c r="B59" s="77">
        <f>+'Conto Economico'!B32/'Conto Economico'!B$8</f>
        <v>4.6835013262599479E-2</v>
      </c>
      <c r="C59" s="77">
        <f>+'Conto Economico'!C32/'Conto Economico'!C$8</f>
        <v>4.7622015807056141E-2</v>
      </c>
      <c r="D59" s="77">
        <f>+'Conto Economico'!D32/'Conto Economico'!D$8</f>
        <v>3.7901290354973145E-2</v>
      </c>
      <c r="E59" s="77">
        <f>+'Conto Economico'!E32/'Conto Economico'!E$8</f>
        <v>3.1777702446708807E-2</v>
      </c>
    </row>
    <row r="60" spans="1:5" x14ac:dyDescent="0.2">
      <c r="A60" s="14" t="s">
        <v>35</v>
      </c>
      <c r="B60" s="82">
        <f>+B57-B59</f>
        <v>0.12043289124668433</v>
      </c>
      <c r="C60" s="82">
        <f>+C57-C59</f>
        <v>0.12245661207528721</v>
      </c>
      <c r="D60" s="82">
        <f>+D57-D59</f>
        <v>9.7460460912788094E-2</v>
      </c>
      <c r="E60" s="82">
        <f>+E57-E59</f>
        <v>8.1714092005822608E-2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INDEX</vt:lpstr>
      <vt:lpstr>Stato Patrimoniale</vt:lpstr>
      <vt:lpstr>Conto Economico</vt:lpstr>
      <vt:lpstr>ANALISI PER INDICI</vt:lpstr>
      <vt:lpstr>ANALISI DELLE INCIDENZE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controllo24</cp:lastModifiedBy>
  <cp:lastPrinted>2020-06-03T06:57:09Z</cp:lastPrinted>
  <dcterms:created xsi:type="dcterms:W3CDTF">2019-05-02T20:35:50Z</dcterms:created>
  <dcterms:modified xsi:type="dcterms:W3CDTF">2020-06-03T07:37:49Z</dcterms:modified>
</cp:coreProperties>
</file>