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0" yWindow="0" windowWidth="23040" windowHeight="9396"/>
  </bookViews>
  <sheets>
    <sheet name="INTRO" sheetId="2" r:id="rId1"/>
    <sheet name="ANALISI INVESTIMENTO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L53" i="1"/>
  <c r="L46" i="1"/>
  <c r="K46" i="1"/>
  <c r="J46" i="1"/>
  <c r="I46" i="1"/>
  <c r="L45" i="1"/>
  <c r="L47" i="1" s="1"/>
  <c r="K45" i="1"/>
  <c r="K47" i="1" s="1"/>
  <c r="J45" i="1"/>
  <c r="J47" i="1" s="1"/>
  <c r="I45" i="1"/>
  <c r="I47" i="1" s="1"/>
  <c r="H45" i="1"/>
  <c r="G45" i="1"/>
  <c r="F45" i="1"/>
  <c r="E45" i="1"/>
  <c r="D45" i="1"/>
  <c r="C45" i="1"/>
  <c r="J40" i="1"/>
  <c r="J39" i="1"/>
  <c r="J42" i="1" s="1"/>
  <c r="C28" i="1"/>
  <c r="I27" i="1"/>
  <c r="I30" i="1" s="1"/>
  <c r="E27" i="1"/>
  <c r="B26" i="1"/>
  <c r="J14" i="1"/>
  <c r="F14" i="1"/>
  <c r="L13" i="1"/>
  <c r="L27" i="1" s="1"/>
  <c r="K13" i="1"/>
  <c r="K27" i="1" s="1"/>
  <c r="K30" i="1" s="1"/>
  <c r="J13" i="1"/>
  <c r="J27" i="1" s="1"/>
  <c r="J30" i="1" s="1"/>
  <c r="I13" i="1"/>
  <c r="H13" i="1"/>
  <c r="H27" i="1" s="1"/>
  <c r="G13" i="1"/>
  <c r="G27" i="1" s="1"/>
  <c r="F13" i="1"/>
  <c r="F27" i="1" s="1"/>
  <c r="E13" i="1"/>
  <c r="D13" i="1"/>
  <c r="D27" i="1" s="1"/>
  <c r="C13" i="1"/>
  <c r="C27" i="1" s="1"/>
  <c r="C30" i="1" s="1"/>
  <c r="B13" i="1"/>
  <c r="I14" i="1" s="1"/>
  <c r="B10" i="1"/>
  <c r="K50" i="1" l="1"/>
  <c r="B64" i="1"/>
  <c r="I50" i="1"/>
  <c r="L50" i="1"/>
  <c r="J50" i="1"/>
  <c r="C14" i="1"/>
  <c r="G14" i="1"/>
  <c r="K14" i="1"/>
  <c r="B27" i="1"/>
  <c r="B22" i="1" s="1"/>
  <c r="D28" i="1"/>
  <c r="C46" i="1"/>
  <c r="C47" i="1" s="1"/>
  <c r="D14" i="1"/>
  <c r="H14" i="1"/>
  <c r="B15" i="1"/>
  <c r="E14" i="1"/>
  <c r="C50" i="1" l="1"/>
  <c r="D46" i="1"/>
  <c r="D47" i="1" s="1"/>
  <c r="E28" i="1"/>
  <c r="D30" i="1"/>
  <c r="B30" i="1"/>
  <c r="K51" i="1"/>
  <c r="L51" i="1"/>
  <c r="L60" i="1" s="1"/>
  <c r="J60" i="1"/>
  <c r="J51" i="1"/>
  <c r="J52" i="1" s="1"/>
  <c r="K60" i="1"/>
  <c r="J61" i="1" l="1"/>
  <c r="J55" i="1"/>
  <c r="J56" i="1" s="1"/>
  <c r="D50" i="1"/>
  <c r="K52" i="1"/>
  <c r="K61" i="1" s="1"/>
  <c r="K64" i="1" s="1"/>
  <c r="K65" i="1" s="1"/>
  <c r="D31" i="1"/>
  <c r="L62" i="1"/>
  <c r="J31" i="1"/>
  <c r="K31" i="1"/>
  <c r="C31" i="1"/>
  <c r="I31" i="1"/>
  <c r="J64" i="1"/>
  <c r="J65" i="1" s="1"/>
  <c r="L52" i="1"/>
  <c r="L61" i="1" s="1"/>
  <c r="D51" i="1"/>
  <c r="C52" i="1"/>
  <c r="C61" i="1" s="1"/>
  <c r="E46" i="1"/>
  <c r="E47" i="1" s="1"/>
  <c r="F28" i="1"/>
  <c r="E30" i="1"/>
  <c r="E31" i="1" s="1"/>
  <c r="C60" i="1"/>
  <c r="E50" i="1" l="1"/>
  <c r="E51" i="1"/>
  <c r="F46" i="1"/>
  <c r="F47" i="1" s="1"/>
  <c r="G28" i="1"/>
  <c r="F30" i="1"/>
  <c r="F31" i="1" s="1"/>
  <c r="C55" i="1"/>
  <c r="C64" i="1"/>
  <c r="D60" i="1"/>
  <c r="K55" i="1"/>
  <c r="K56" i="1" s="1"/>
  <c r="C65" i="1" l="1"/>
  <c r="G46" i="1"/>
  <c r="G47" i="1" s="1"/>
  <c r="H28" i="1"/>
  <c r="G30" i="1"/>
  <c r="G31" i="1" s="1"/>
  <c r="C56" i="1"/>
  <c r="F50" i="1"/>
  <c r="E52" i="1"/>
  <c r="E61" i="1" s="1"/>
  <c r="F51" i="1"/>
  <c r="L29" i="1"/>
  <c r="D52" i="1"/>
  <c r="E60" i="1"/>
  <c r="D61" i="1" l="1"/>
  <c r="D64" i="1" s="1"/>
  <c r="D55" i="1"/>
  <c r="L54" i="1"/>
  <c r="L55" i="1" s="1"/>
  <c r="L63" i="1"/>
  <c r="L64" i="1" s="1"/>
  <c r="L30" i="1"/>
  <c r="E55" i="1"/>
  <c r="E56" i="1" s="1"/>
  <c r="F52" i="1"/>
  <c r="F61" i="1" s="1"/>
  <c r="G51" i="1"/>
  <c r="G50" i="1"/>
  <c r="G60" i="1" s="1"/>
  <c r="E64" i="1"/>
  <c r="E65" i="1" s="1"/>
  <c r="F60" i="1"/>
  <c r="H46" i="1"/>
  <c r="H47" i="1" s="1"/>
  <c r="H30" i="1"/>
  <c r="H31" i="1" l="1"/>
  <c r="B32" i="1"/>
  <c r="D56" i="1"/>
  <c r="H51" i="1"/>
  <c r="G52" i="1"/>
  <c r="G61" i="1" s="1"/>
  <c r="G64" i="1" s="1"/>
  <c r="G65" i="1" s="1"/>
  <c r="G55" i="1"/>
  <c r="G56" i="1" s="1"/>
  <c r="H50" i="1"/>
  <c r="F64" i="1"/>
  <c r="F65" i="1" s="1"/>
  <c r="F55" i="1"/>
  <c r="F56" i="1" s="1"/>
  <c r="D65" i="1"/>
  <c r="I51" i="1" l="1"/>
  <c r="H60" i="1"/>
  <c r="H52" i="1" s="1"/>
  <c r="H61" i="1" l="1"/>
  <c r="H55" i="1"/>
  <c r="H56" i="1" s="1"/>
  <c r="I60" i="1"/>
  <c r="H64" i="1"/>
  <c r="H65" i="1" s="1"/>
  <c r="I52" i="1" l="1"/>
  <c r="I61" i="1" l="1"/>
  <c r="I64" i="1" s="1"/>
  <c r="I55" i="1"/>
  <c r="I56" i="1" l="1"/>
  <c r="B57" i="1"/>
  <c r="I65" i="1"/>
  <c r="B66" i="1"/>
</calcChain>
</file>

<file path=xl/sharedStrings.xml><?xml version="1.0" encoding="utf-8"?>
<sst xmlns="http://schemas.openxmlformats.org/spreadsheetml/2006/main" count="85" uniqueCount="51">
  <si>
    <t>Analisi di un investimento con IRR e ROE</t>
  </si>
  <si>
    <t>VALORE INVESTIMENTO</t>
  </si>
  <si>
    <t>I.  IRR -- Investimento non finanziato</t>
  </si>
  <si>
    <t>Anno 0</t>
  </si>
  <si>
    <t>Anno 1</t>
  </si>
  <si>
    <t>Anno 2</t>
  </si>
  <si>
    <t>Anno 3</t>
  </si>
  <si>
    <t>Anno 4</t>
  </si>
  <si>
    <t>Anno 5</t>
  </si>
  <si>
    <t>Anno 6</t>
  </si>
  <si>
    <t>Anno 7</t>
  </si>
  <si>
    <t>Anno 8</t>
  </si>
  <si>
    <t>Anno 9</t>
  </si>
  <si>
    <t>Anno 10</t>
  </si>
  <si>
    <t>Acquisto investimento</t>
  </si>
  <si>
    <t>Cash Flow</t>
  </si>
  <si>
    <t>Vendita investimento</t>
  </si>
  <si>
    <t>Cash flow investimento</t>
  </si>
  <si>
    <t>Return on Equity</t>
  </si>
  <si>
    <t>Internal Rate of Return</t>
  </si>
  <si>
    <t>II.  IRR -- Investimento finanziato</t>
  </si>
  <si>
    <t>Importo finanziamento</t>
  </si>
  <si>
    <t>% Finanziamento su valore investimento</t>
  </si>
  <si>
    <t>Tasso annuo finanziamento</t>
  </si>
  <si>
    <t>Finanziamento</t>
  </si>
  <si>
    <t>Rimborso finanziamento</t>
  </si>
  <si>
    <t>Importo rimborsato</t>
  </si>
  <si>
    <t>Cash flow complessivo</t>
  </si>
  <si>
    <t>III.  IRR -- Investimento finanziato e Altri finanziatori (equity investor e developer)</t>
  </si>
  <si>
    <t>Investimento</t>
  </si>
  <si>
    <t xml:space="preserve">Tasso ritorno desiderato dall'Equity Investor </t>
  </si>
  <si>
    <t>Quota di pertinena del cash flow dell'Equity Investor</t>
  </si>
  <si>
    <t>Quota finanziata dall'Equity Investor</t>
  </si>
  <si>
    <t>Quota pertinenza dell'Equity Investor dalla vendita</t>
  </si>
  <si>
    <t>Quota finanziata dal Developer</t>
  </si>
  <si>
    <t>Cash Flow dopo il rimborso finanziamento</t>
  </si>
  <si>
    <t>Analisi Equity Investor</t>
  </si>
  <si>
    <t>Ritorno sul cash flow desiderato</t>
  </si>
  <si>
    <t>Ritorno sul cash flow desiderato successivo</t>
  </si>
  <si>
    <t>Quota cash flow</t>
  </si>
  <si>
    <t>Rientro dell'investimento</t>
  </si>
  <si>
    <t>Reversion Split</t>
  </si>
  <si>
    <t xml:space="preserve">Posizione Equity Investor </t>
  </si>
  <si>
    <t>IRR Equity Investor</t>
  </si>
  <si>
    <t>Analisi Developer</t>
  </si>
  <si>
    <t>Posizione Developer</t>
  </si>
  <si>
    <t>IRR</t>
  </si>
  <si>
    <t>www.controllo24.com</t>
  </si>
  <si>
    <t>info@controllo24.com</t>
  </si>
  <si>
    <t>vedere fogli seguenti</t>
  </si>
  <si>
    <t>ANALISI INVESTIMENTO CON IRR E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</si>
</sst>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12" x14ac:knownFonts="1">
    <font>
      <sz val="10"/>
      <name val="Arial"/>
    </font>
    <font>
      <sz val="10"/>
      <name val="Arial"/>
    </font>
    <font>
      <b/>
      <sz val="2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164" fontId="3" fillId="0" borderId="0" xfId="1" applyNumberFormat="1" applyFont="1" applyAlignment="1"/>
    <xf numFmtId="0" fontId="5" fillId="0" borderId="0" xfId="0" applyFont="1" applyFill="1" applyBorder="1"/>
    <xf numFmtId="0" fontId="3" fillId="0" borderId="0" xfId="0" applyFont="1" applyBorder="1" applyAlignment="1"/>
    <xf numFmtId="0" fontId="4" fillId="0" borderId="0" xfId="0" applyFont="1" applyBorder="1"/>
    <xf numFmtId="0" fontId="4" fillId="0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Fill="1" applyBorder="1"/>
    <xf numFmtId="3" fontId="8" fillId="3" borderId="0" xfId="0" applyNumberFormat="1" applyFont="1" applyFill="1" applyBorder="1"/>
    <xf numFmtId="3" fontId="8" fillId="0" borderId="0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3" fontId="8" fillId="4" borderId="1" xfId="0" applyNumberFormat="1" applyFont="1" applyFill="1" applyBorder="1" applyAlignment="1">
      <alignment horizontal="right"/>
    </xf>
    <xf numFmtId="0" fontId="8" fillId="0" borderId="2" xfId="0" applyFont="1" applyFill="1" applyBorder="1"/>
    <xf numFmtId="3" fontId="9" fillId="0" borderId="2" xfId="0" applyNumberFormat="1" applyFont="1" applyFill="1" applyBorder="1"/>
    <xf numFmtId="0" fontId="8" fillId="0" borderId="0" xfId="0" applyFont="1" applyFill="1"/>
    <xf numFmtId="0" fontId="4" fillId="0" borderId="0" xfId="0" applyFont="1" applyFill="1"/>
    <xf numFmtId="10" fontId="9" fillId="0" borderId="0" xfId="0" applyNumberFormat="1" applyFont="1" applyFill="1"/>
    <xf numFmtId="0" fontId="9" fillId="0" borderId="1" xfId="0" applyFont="1" applyFill="1" applyBorder="1"/>
    <xf numFmtId="10" fontId="9" fillId="0" borderId="3" xfId="2" applyNumberFormat="1" applyFont="1" applyFill="1" applyBorder="1"/>
    <xf numFmtId="0" fontId="4" fillId="0" borderId="1" xfId="0" applyFont="1" applyFill="1" applyBorder="1"/>
    <xf numFmtId="10" fontId="8" fillId="0" borderId="0" xfId="0" applyNumberFormat="1" applyFont="1" applyFill="1"/>
    <xf numFmtId="3" fontId="9" fillId="0" borderId="0" xfId="0" applyNumberFormat="1" applyFont="1"/>
    <xf numFmtId="3" fontId="4" fillId="0" borderId="0" xfId="0" applyNumberFormat="1" applyFont="1"/>
    <xf numFmtId="3" fontId="9" fillId="0" borderId="0" xfId="0" applyNumberFormat="1" applyFont="1" applyFill="1"/>
    <xf numFmtId="10" fontId="8" fillId="0" borderId="0" xfId="2" applyNumberFormat="1" applyFont="1" applyFill="1"/>
    <xf numFmtId="3" fontId="8" fillId="4" borderId="0" xfId="0" applyNumberFormat="1" applyFont="1" applyFill="1"/>
    <xf numFmtId="3" fontId="8" fillId="0" borderId="0" xfId="0" applyNumberFormat="1" applyFont="1" applyFill="1"/>
    <xf numFmtId="10" fontId="9" fillId="0" borderId="0" xfId="0" applyNumberFormat="1" applyFont="1" applyFill="1" applyBorder="1"/>
    <xf numFmtId="0" fontId="5" fillId="0" borderId="0" xfId="0" applyFont="1" applyFill="1"/>
    <xf numFmtId="165" fontId="8" fillId="0" borderId="0" xfId="0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0" fontId="10" fillId="0" borderId="0" xfId="3"/>
    <xf numFmtId="0" fontId="11" fillId="0" borderId="0" xfId="0" applyFont="1"/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83820</xdr:rowOff>
    </xdr:from>
    <xdr:to>
      <xdr:col>7</xdr:col>
      <xdr:colOff>122248</xdr:colOff>
      <xdr:row>14</xdr:row>
      <xdr:rowOff>45818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" y="609600"/>
          <a:ext cx="3779848" cy="113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B22"/>
  <sheetViews>
    <sheetView showGridLines="0" showRowColHeaders="0" tabSelected="1" workbookViewId="0">
      <selection activeCell="N12" sqref="N12"/>
    </sheetView>
  </sheetViews>
  <sheetFormatPr defaultRowHeight="13.2" x14ac:dyDescent="0.25"/>
  <sheetData>
    <row r="17" spans="2:2" x14ac:dyDescent="0.25">
      <c r="B17" s="41" t="s">
        <v>47</v>
      </c>
    </row>
    <row r="18" spans="2:2" x14ac:dyDescent="0.25">
      <c r="B18" s="41" t="s">
        <v>48</v>
      </c>
    </row>
    <row r="21" spans="2:2" ht="15.6" x14ac:dyDescent="0.3">
      <c r="B21" s="16" t="s">
        <v>50</v>
      </c>
    </row>
    <row r="22" spans="2:2" x14ac:dyDescent="0.25">
      <c r="B22" s="42" t="s">
        <v>49</v>
      </c>
    </row>
  </sheetData>
  <hyperlinks>
    <hyperlink ref="B17" r:id="rId1"/>
    <hyperlink ref="B1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5"/>
  <sheetViews>
    <sheetView showGridLines="0" zoomScale="95" workbookViewId="0">
      <selection activeCell="A25" sqref="A25"/>
    </sheetView>
  </sheetViews>
  <sheetFormatPr defaultRowHeight="13.8" x14ac:dyDescent="0.3"/>
  <cols>
    <col min="1" max="1" width="37.33203125" style="3" customWidth="1"/>
    <col min="2" max="12" width="11.88671875" style="3" customWidth="1"/>
    <col min="13" max="16384" width="8.88671875" style="3"/>
  </cols>
  <sheetData>
    <row r="1" spans="1:35" ht="28.2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5" ht="18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5" ht="18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35" ht="18" x14ac:dyDescent="0.35">
      <c r="A4" s="2" t="s">
        <v>1</v>
      </c>
      <c r="B4" s="4">
        <v>6400000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35" ht="18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35" ht="18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35" ht="20.399999999999999" x14ac:dyDescent="0.35">
      <c r="A7" s="5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35" x14ac:dyDescent="0.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35" s="12" customFormat="1" ht="16.8" x14ac:dyDescent="0.3">
      <c r="A9" s="9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.6" x14ac:dyDescent="0.3">
      <c r="A10" s="13" t="s">
        <v>14</v>
      </c>
      <c r="B10" s="14">
        <f>+B4</f>
        <v>6400000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5.6" x14ac:dyDescent="0.3">
      <c r="A11" s="13" t="s">
        <v>15</v>
      </c>
      <c r="B11" s="15"/>
      <c r="C11" s="17">
        <v>450000</v>
      </c>
      <c r="D11" s="17">
        <v>495000.00000000006</v>
      </c>
      <c r="E11" s="17">
        <v>480150.00000000006</v>
      </c>
      <c r="F11" s="17">
        <v>465745.50000000006</v>
      </c>
      <c r="G11" s="17">
        <v>512320.0500000001</v>
      </c>
      <c r="H11" s="17">
        <v>493554</v>
      </c>
      <c r="I11" s="17">
        <v>478747.38</v>
      </c>
      <c r="J11" s="17">
        <v>580000</v>
      </c>
      <c r="K11" s="17">
        <v>460000</v>
      </c>
      <c r="L11" s="17">
        <v>650000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5.6" x14ac:dyDescent="0.3">
      <c r="A12" s="18" t="s">
        <v>16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>
        <v>5500000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ht="16.2" thickBot="1" x14ac:dyDescent="0.35">
      <c r="A13" s="21" t="s">
        <v>17</v>
      </c>
      <c r="B13" s="22">
        <f>-SUM(B10:B12)</f>
        <v>-6400000</v>
      </c>
      <c r="C13" s="22">
        <f t="shared" ref="C13:L13" si="0">SUM(C10:C12)</f>
        <v>450000</v>
      </c>
      <c r="D13" s="22">
        <f t="shared" si="0"/>
        <v>495000.00000000006</v>
      </c>
      <c r="E13" s="22">
        <f t="shared" si="0"/>
        <v>480150.00000000006</v>
      </c>
      <c r="F13" s="22">
        <f t="shared" si="0"/>
        <v>465745.50000000006</v>
      </c>
      <c r="G13" s="22">
        <f t="shared" si="0"/>
        <v>512320.0500000001</v>
      </c>
      <c r="H13" s="22">
        <f t="shared" si="0"/>
        <v>493554</v>
      </c>
      <c r="I13" s="22">
        <f t="shared" si="0"/>
        <v>478747.38</v>
      </c>
      <c r="J13" s="22">
        <f t="shared" si="0"/>
        <v>580000</v>
      </c>
      <c r="K13" s="22">
        <f t="shared" si="0"/>
        <v>460000</v>
      </c>
      <c r="L13" s="22">
        <f t="shared" si="0"/>
        <v>6150000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ht="16.2" thickTop="1" x14ac:dyDescent="0.3">
      <c r="A14" s="23" t="s">
        <v>18</v>
      </c>
      <c r="B14" s="24"/>
      <c r="C14" s="25">
        <f>C11/-$B$13</f>
        <v>7.03125E-2</v>
      </c>
      <c r="D14" s="25">
        <f t="shared" ref="D14:K14" si="1">D11/-$B$13</f>
        <v>7.7343750000000003E-2</v>
      </c>
      <c r="E14" s="25">
        <f t="shared" si="1"/>
        <v>7.5023437500000012E-2</v>
      </c>
      <c r="F14" s="25">
        <f t="shared" si="1"/>
        <v>7.2772734375000009E-2</v>
      </c>
      <c r="G14" s="25">
        <f t="shared" si="1"/>
        <v>8.0050007812500018E-2</v>
      </c>
      <c r="H14" s="25">
        <f t="shared" si="1"/>
        <v>7.7117812499999994E-2</v>
      </c>
      <c r="I14" s="25">
        <f t="shared" si="1"/>
        <v>7.4804278124999998E-2</v>
      </c>
      <c r="J14" s="25">
        <f t="shared" si="1"/>
        <v>9.0624999999999997E-2</v>
      </c>
      <c r="K14" s="25">
        <f t="shared" si="1"/>
        <v>7.1874999999999994E-2</v>
      </c>
      <c r="L14" s="2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ht="15.6" x14ac:dyDescent="0.3">
      <c r="A15" s="26" t="s">
        <v>19</v>
      </c>
      <c r="B15" s="27">
        <f>IRR(B13:L13)</f>
        <v>6.7847688681518026E-2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AG15" s="16"/>
      <c r="AH15" s="16"/>
      <c r="AI15" s="16"/>
    </row>
    <row r="16" spans="1:35" ht="15.6" x14ac:dyDescent="0.3">
      <c r="A16" s="23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AG16" s="16"/>
      <c r="AH16" s="16"/>
      <c r="AI16" s="16"/>
    </row>
    <row r="17" spans="1:37" ht="15.6" x14ac:dyDescent="0.3">
      <c r="A17" s="23"/>
      <c r="B17" s="29"/>
      <c r="C17" s="24"/>
      <c r="D17" s="24"/>
      <c r="E17" s="24"/>
      <c r="F17" s="24"/>
      <c r="G17" s="24"/>
      <c r="H17" s="24"/>
      <c r="I17" s="24"/>
      <c r="J17" s="24"/>
      <c r="K17" s="24"/>
      <c r="L17" s="24"/>
      <c r="AG17" s="16"/>
      <c r="AH17" s="16"/>
      <c r="AI17" s="16"/>
    </row>
    <row r="18" spans="1:37" ht="15.6" x14ac:dyDescent="0.3">
      <c r="A18" s="23"/>
      <c r="B18" s="29"/>
      <c r="C18" s="24"/>
      <c r="D18" s="24"/>
      <c r="E18" s="24"/>
      <c r="F18" s="24"/>
      <c r="G18" s="24"/>
      <c r="H18" s="24"/>
      <c r="I18" s="24"/>
      <c r="J18" s="24"/>
      <c r="K18" s="24"/>
      <c r="L18" s="24"/>
      <c r="AG18" s="16"/>
      <c r="AH18" s="16"/>
      <c r="AI18" s="16"/>
    </row>
    <row r="19" spans="1:37" ht="20.399999999999999" x14ac:dyDescent="0.35">
      <c r="A19" s="5" t="s">
        <v>20</v>
      </c>
      <c r="B19" s="29"/>
      <c r="C19" s="24"/>
      <c r="D19" s="24"/>
      <c r="E19" s="24"/>
      <c r="F19" s="24"/>
      <c r="G19" s="24"/>
      <c r="H19" s="24"/>
      <c r="I19" s="24"/>
      <c r="J19" s="24"/>
      <c r="K19" s="24"/>
      <c r="L19" s="24"/>
      <c r="AG19" s="16"/>
      <c r="AH19" s="16"/>
      <c r="AI19" s="16"/>
    </row>
    <row r="20" spans="1:37" ht="15.6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30"/>
      <c r="AH20" s="30"/>
      <c r="AI20" s="30"/>
      <c r="AJ20" s="31"/>
      <c r="AK20" s="31"/>
    </row>
    <row r="21" spans="1:37" ht="15.6" x14ac:dyDescent="0.3">
      <c r="A21" s="23" t="s">
        <v>21</v>
      </c>
      <c r="B21" s="32">
        <v>4000000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30"/>
      <c r="AH21" s="30"/>
      <c r="AI21" s="30"/>
      <c r="AJ21" s="31"/>
      <c r="AK21" s="31"/>
    </row>
    <row r="22" spans="1:37" ht="15.6" x14ac:dyDescent="0.3">
      <c r="A22" s="23" t="s">
        <v>22</v>
      </c>
      <c r="B22" s="29">
        <f>-B21/B27</f>
        <v>0.625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30"/>
      <c r="AH22" s="30"/>
      <c r="AI22" s="30"/>
      <c r="AJ22" s="31"/>
      <c r="AK22" s="31"/>
    </row>
    <row r="23" spans="1:37" ht="15.6" x14ac:dyDescent="0.3">
      <c r="A23" s="23" t="s">
        <v>23</v>
      </c>
      <c r="B23" s="33">
        <v>0.05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30"/>
      <c r="AH23" s="30"/>
      <c r="AI23" s="30"/>
      <c r="AJ23" s="31"/>
      <c r="AK23" s="31"/>
    </row>
    <row r="24" spans="1:37" ht="15.6" x14ac:dyDescent="0.3">
      <c r="A24" s="23"/>
      <c r="B24" s="29"/>
      <c r="C24" s="24"/>
      <c r="D24" s="24"/>
      <c r="E24" s="24"/>
      <c r="F24" s="24"/>
      <c r="G24" s="24"/>
      <c r="H24" s="24"/>
      <c r="I24" s="24"/>
      <c r="J24" s="24"/>
      <c r="K24" s="24"/>
      <c r="L24" s="24"/>
      <c r="AG24" s="16"/>
      <c r="AH24" s="16"/>
      <c r="AI24" s="16"/>
    </row>
    <row r="25" spans="1:37" s="12" customFormat="1" ht="16.8" x14ac:dyDescent="0.3">
      <c r="A25" s="9"/>
      <c r="B25" s="10" t="s">
        <v>3</v>
      </c>
      <c r="C25" s="10" t="s">
        <v>4</v>
      </c>
      <c r="D25" s="10" t="s">
        <v>5</v>
      </c>
      <c r="E25" s="10" t="s">
        <v>6</v>
      </c>
      <c r="F25" s="10" t="s">
        <v>7</v>
      </c>
      <c r="G25" s="10" t="s">
        <v>8</v>
      </c>
      <c r="H25" s="10" t="s">
        <v>9</v>
      </c>
      <c r="I25" s="10" t="s">
        <v>10</v>
      </c>
      <c r="J25" s="10" t="s">
        <v>11</v>
      </c>
      <c r="K25" s="10" t="s">
        <v>12</v>
      </c>
      <c r="L25" s="10" t="s">
        <v>13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7" ht="15.6" x14ac:dyDescent="0.3">
      <c r="A26" s="23" t="s">
        <v>24</v>
      </c>
      <c r="B26" s="34">
        <f>B21</f>
        <v>4000000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30"/>
      <c r="AH26" s="30"/>
      <c r="AI26" s="30"/>
      <c r="AJ26" s="31"/>
      <c r="AK26" s="31"/>
    </row>
    <row r="27" spans="1:37" ht="15.6" x14ac:dyDescent="0.3">
      <c r="A27" s="23" t="s">
        <v>17</v>
      </c>
      <c r="B27" s="15">
        <f t="shared" ref="B27:L27" si="2">B13</f>
        <v>-6400000</v>
      </c>
      <c r="C27" s="15">
        <f t="shared" si="2"/>
        <v>450000</v>
      </c>
      <c r="D27" s="15">
        <f t="shared" si="2"/>
        <v>495000.00000000006</v>
      </c>
      <c r="E27" s="15">
        <f t="shared" si="2"/>
        <v>480150.00000000006</v>
      </c>
      <c r="F27" s="15">
        <f t="shared" si="2"/>
        <v>465745.50000000006</v>
      </c>
      <c r="G27" s="15">
        <f t="shared" si="2"/>
        <v>512320.0500000001</v>
      </c>
      <c r="H27" s="15">
        <f t="shared" si="2"/>
        <v>493554</v>
      </c>
      <c r="I27" s="15">
        <f t="shared" si="2"/>
        <v>478747.38</v>
      </c>
      <c r="J27" s="15">
        <f t="shared" si="2"/>
        <v>580000</v>
      </c>
      <c r="K27" s="15">
        <f t="shared" si="2"/>
        <v>460000</v>
      </c>
      <c r="L27" s="15">
        <f t="shared" si="2"/>
        <v>6150000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30"/>
      <c r="AH27" s="30"/>
      <c r="AI27" s="30"/>
      <c r="AJ27" s="31"/>
      <c r="AK27" s="31"/>
    </row>
    <row r="28" spans="1:37" ht="15.6" x14ac:dyDescent="0.3">
      <c r="A28" s="13" t="s">
        <v>25</v>
      </c>
      <c r="B28" s="15"/>
      <c r="C28" s="15">
        <f>-B21/6</f>
        <v>-666666.66666666663</v>
      </c>
      <c r="D28" s="15">
        <f>C28</f>
        <v>-666666.66666666663</v>
      </c>
      <c r="E28" s="15">
        <f t="shared" ref="E28:H28" si="3">D28</f>
        <v>-666666.66666666663</v>
      </c>
      <c r="F28" s="15">
        <f t="shared" si="3"/>
        <v>-666666.66666666663</v>
      </c>
      <c r="G28" s="15">
        <f t="shared" si="3"/>
        <v>-666666.66666666663</v>
      </c>
      <c r="H28" s="15">
        <f t="shared" si="3"/>
        <v>-666666.66666666663</v>
      </c>
      <c r="I28" s="15">
        <v>0</v>
      </c>
      <c r="J28" s="15">
        <v>0</v>
      </c>
      <c r="K28" s="15">
        <v>0</v>
      </c>
      <c r="L28" s="15">
        <v>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30"/>
      <c r="AH28" s="30"/>
      <c r="AI28" s="30"/>
      <c r="AJ28" s="31"/>
      <c r="AK28" s="31"/>
    </row>
    <row r="29" spans="1:37" ht="15.6" x14ac:dyDescent="0.3">
      <c r="A29" s="18" t="s">
        <v>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>
        <f>SUM(C28:L28)</f>
        <v>-3999999.9999999995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30"/>
      <c r="AH29" s="30"/>
      <c r="AI29" s="30"/>
      <c r="AJ29" s="31"/>
      <c r="AK29" s="31"/>
    </row>
    <row r="30" spans="1:37" ht="16.2" thickBot="1" x14ac:dyDescent="0.35">
      <c r="A30" s="21" t="s">
        <v>27</v>
      </c>
      <c r="B30" s="22">
        <f t="shared" ref="B30:L30" si="4">SUM(B26:B29)</f>
        <v>-2400000</v>
      </c>
      <c r="C30" s="22">
        <f t="shared" si="4"/>
        <v>-216666.66666666663</v>
      </c>
      <c r="D30" s="22">
        <f t="shared" si="4"/>
        <v>-171666.66666666657</v>
      </c>
      <c r="E30" s="22">
        <f t="shared" si="4"/>
        <v>-186516.66666666657</v>
      </c>
      <c r="F30" s="22">
        <f t="shared" si="4"/>
        <v>-200921.16666666657</v>
      </c>
      <c r="G30" s="22">
        <f t="shared" si="4"/>
        <v>-154346.61666666652</v>
      </c>
      <c r="H30" s="22">
        <f t="shared" si="4"/>
        <v>-173112.66666666663</v>
      </c>
      <c r="I30" s="22">
        <f t="shared" si="4"/>
        <v>478747.38</v>
      </c>
      <c r="J30" s="22">
        <f t="shared" si="4"/>
        <v>580000</v>
      </c>
      <c r="K30" s="22">
        <f t="shared" si="4"/>
        <v>460000</v>
      </c>
      <c r="L30" s="22">
        <f t="shared" si="4"/>
        <v>2150000.0000000005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30"/>
      <c r="AH30" s="30"/>
      <c r="AI30" s="30"/>
      <c r="AJ30" s="31"/>
      <c r="AK30" s="31"/>
    </row>
    <row r="31" spans="1:37" ht="16.2" thickTop="1" x14ac:dyDescent="0.3">
      <c r="A31" s="23" t="s">
        <v>18</v>
      </c>
      <c r="B31" s="15"/>
      <c r="C31" s="36">
        <f>(C30+C29)/-$B$30</f>
        <v>-9.0277777777777762E-2</v>
      </c>
      <c r="D31" s="36">
        <f t="shared" ref="D31:K31" si="5">(D30+D29)/-$B$30</f>
        <v>-7.1527777777777732E-2</v>
      </c>
      <c r="E31" s="36">
        <f t="shared" si="5"/>
        <v>-7.7715277777777744E-2</v>
      </c>
      <c r="F31" s="36">
        <f t="shared" si="5"/>
        <v>-8.3717152777777734E-2</v>
      </c>
      <c r="G31" s="36">
        <f t="shared" si="5"/>
        <v>-6.4311090277777719E-2</v>
      </c>
      <c r="H31" s="36">
        <f t="shared" si="5"/>
        <v>-7.2130277777777765E-2</v>
      </c>
      <c r="I31" s="36">
        <f t="shared" si="5"/>
        <v>0.199478075</v>
      </c>
      <c r="J31" s="36">
        <f t="shared" si="5"/>
        <v>0.24166666666666667</v>
      </c>
      <c r="K31" s="36">
        <f t="shared" si="5"/>
        <v>0.19166666666666668</v>
      </c>
      <c r="L31" s="3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30"/>
      <c r="AH31" s="30"/>
      <c r="AI31" s="30"/>
      <c r="AJ31" s="31"/>
      <c r="AK31" s="31"/>
    </row>
    <row r="32" spans="1:37" ht="15.6" x14ac:dyDescent="0.3">
      <c r="A32" s="26" t="s">
        <v>19</v>
      </c>
      <c r="B32" s="27">
        <f>IRR(B30:L30)</f>
        <v>5.7104825848315333E-3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30"/>
      <c r="AH32" s="30"/>
      <c r="AI32" s="30"/>
      <c r="AJ32" s="31"/>
      <c r="AK32" s="31"/>
    </row>
    <row r="33" spans="1:37" ht="15.6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AH33" s="30"/>
      <c r="AI33" s="30"/>
      <c r="AJ33" s="31"/>
      <c r="AK33" s="31"/>
    </row>
    <row r="34" spans="1:37" ht="15.6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AH34" s="30"/>
      <c r="AI34" s="30"/>
      <c r="AJ34" s="31"/>
      <c r="AK34" s="31"/>
    </row>
    <row r="35" spans="1:37" ht="15.6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AH35" s="30"/>
      <c r="AI35" s="30"/>
      <c r="AJ35" s="31"/>
      <c r="AK35" s="31"/>
    </row>
    <row r="36" spans="1:37" ht="15.6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AH36" s="30"/>
      <c r="AI36" s="30"/>
      <c r="AJ36" s="31"/>
      <c r="AK36" s="31"/>
    </row>
    <row r="37" spans="1:37" ht="20.399999999999999" x14ac:dyDescent="0.35">
      <c r="A37" s="37" t="s">
        <v>28</v>
      </c>
      <c r="B37" s="35"/>
      <c r="C37" s="35"/>
      <c r="D37" s="23"/>
      <c r="E37" s="24"/>
      <c r="F37" s="35"/>
      <c r="K37" s="35"/>
      <c r="L37" s="38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30"/>
      <c r="AH37" s="30"/>
      <c r="AI37" s="30"/>
      <c r="AJ37" s="31"/>
      <c r="AK37" s="31"/>
    </row>
    <row r="38" spans="1:37" ht="20.399999999999999" x14ac:dyDescent="0.35">
      <c r="A38" s="37"/>
      <c r="B38" s="35"/>
      <c r="C38" s="35"/>
      <c r="D38" s="23"/>
      <c r="E38" s="24"/>
      <c r="F38" s="35"/>
      <c r="K38" s="35"/>
      <c r="L38" s="38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30"/>
      <c r="AH38" s="30"/>
      <c r="AI38" s="30"/>
      <c r="AJ38" s="31"/>
      <c r="AK38" s="31"/>
    </row>
    <row r="39" spans="1:37" ht="15.6" x14ac:dyDescent="0.3">
      <c r="A39" s="23"/>
      <c r="B39" s="35"/>
      <c r="C39" s="25"/>
      <c r="D39" s="23"/>
      <c r="F39" s="23" t="s">
        <v>29</v>
      </c>
      <c r="H39" s="23"/>
      <c r="I39" s="35"/>
      <c r="J39" s="32">
        <f>B13</f>
        <v>-6400000</v>
      </c>
      <c r="K39" s="35"/>
      <c r="L39" s="3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30"/>
      <c r="AH39" s="30"/>
      <c r="AI39" s="30"/>
      <c r="AJ39" s="31"/>
      <c r="AK39" s="31"/>
    </row>
    <row r="40" spans="1:37" ht="15.6" x14ac:dyDescent="0.3">
      <c r="A40" s="23" t="s">
        <v>30</v>
      </c>
      <c r="B40" s="35"/>
      <c r="C40" s="25">
        <v>0.06</v>
      </c>
      <c r="D40" s="23"/>
      <c r="F40" s="23" t="s">
        <v>21</v>
      </c>
      <c r="H40" s="23"/>
      <c r="I40" s="35"/>
      <c r="J40" s="32">
        <f>B21</f>
        <v>4000000</v>
      </c>
      <c r="K40" s="35"/>
      <c r="L40" s="3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30"/>
      <c r="AH40" s="30"/>
      <c r="AI40" s="30"/>
      <c r="AJ40" s="31"/>
      <c r="AK40" s="31"/>
    </row>
    <row r="41" spans="1:37" ht="15.6" x14ac:dyDescent="0.3">
      <c r="A41" s="23" t="s">
        <v>31</v>
      </c>
      <c r="B41" s="35"/>
      <c r="C41" s="25">
        <v>0.6</v>
      </c>
      <c r="D41" s="23"/>
      <c r="F41" s="23" t="s">
        <v>32</v>
      </c>
      <c r="H41" s="23"/>
      <c r="I41" s="35"/>
      <c r="J41" s="32">
        <v>1200000</v>
      </c>
      <c r="K41" s="35"/>
      <c r="L41" s="3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0"/>
      <c r="AH41" s="30"/>
      <c r="AI41" s="30"/>
      <c r="AJ41" s="31"/>
      <c r="AK41" s="31"/>
    </row>
    <row r="42" spans="1:37" ht="15.6" x14ac:dyDescent="0.3">
      <c r="A42" s="23" t="s">
        <v>33</v>
      </c>
      <c r="B42" s="35"/>
      <c r="C42" s="25">
        <v>0.5</v>
      </c>
      <c r="D42" s="23"/>
      <c r="F42" s="23" t="s">
        <v>34</v>
      </c>
      <c r="H42" s="23"/>
      <c r="I42" s="35"/>
      <c r="J42" s="32">
        <f>-SUM(J39:J41)</f>
        <v>1200000</v>
      </c>
      <c r="K42" s="35"/>
      <c r="L42" s="3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30"/>
      <c r="AH42" s="30"/>
      <c r="AI42" s="30"/>
      <c r="AJ42" s="31"/>
      <c r="AK42" s="31"/>
    </row>
    <row r="43" spans="1:37" ht="15.6" x14ac:dyDescent="0.3">
      <c r="A43" s="23"/>
      <c r="B43" s="35"/>
      <c r="C43" s="35"/>
      <c r="D43" s="23"/>
      <c r="E43" s="29"/>
      <c r="F43" s="35"/>
      <c r="G43" s="23"/>
      <c r="H43" s="23"/>
      <c r="I43" s="35"/>
      <c r="J43" s="35"/>
      <c r="K43" s="35"/>
      <c r="L43" s="35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30"/>
      <c r="AH43" s="30"/>
      <c r="AI43" s="30"/>
      <c r="AJ43" s="31"/>
      <c r="AK43" s="31"/>
    </row>
    <row r="44" spans="1:37" s="12" customFormat="1" ht="16.8" x14ac:dyDescent="0.3">
      <c r="A44" s="9"/>
      <c r="B44" s="10" t="s">
        <v>3</v>
      </c>
      <c r="C44" s="10" t="s">
        <v>4</v>
      </c>
      <c r="D44" s="10" t="s">
        <v>5</v>
      </c>
      <c r="E44" s="10" t="s">
        <v>6</v>
      </c>
      <c r="F44" s="10" t="s">
        <v>7</v>
      </c>
      <c r="G44" s="10" t="s">
        <v>8</v>
      </c>
      <c r="H44" s="10" t="s">
        <v>9</v>
      </c>
      <c r="I44" s="10" t="s">
        <v>10</v>
      </c>
      <c r="J44" s="10" t="s">
        <v>11</v>
      </c>
      <c r="K44" s="10" t="s">
        <v>12</v>
      </c>
      <c r="L44" s="10" t="s">
        <v>13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7" ht="15.6" x14ac:dyDescent="0.3">
      <c r="A45" s="13" t="s">
        <v>15</v>
      </c>
      <c r="B45" s="13"/>
      <c r="C45" s="15">
        <f t="shared" ref="C45:L45" si="6">C11</f>
        <v>450000</v>
      </c>
      <c r="D45" s="15">
        <f t="shared" si="6"/>
        <v>495000.00000000006</v>
      </c>
      <c r="E45" s="15">
        <f t="shared" si="6"/>
        <v>480150.00000000006</v>
      </c>
      <c r="F45" s="15">
        <f t="shared" si="6"/>
        <v>465745.50000000006</v>
      </c>
      <c r="G45" s="15">
        <f t="shared" si="6"/>
        <v>512320.0500000001</v>
      </c>
      <c r="H45" s="15">
        <f t="shared" si="6"/>
        <v>493554</v>
      </c>
      <c r="I45" s="15">
        <f t="shared" si="6"/>
        <v>478747.38</v>
      </c>
      <c r="J45" s="15">
        <f t="shared" si="6"/>
        <v>580000</v>
      </c>
      <c r="K45" s="15">
        <f t="shared" si="6"/>
        <v>460000</v>
      </c>
      <c r="L45" s="15">
        <f t="shared" si="6"/>
        <v>650000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31"/>
    </row>
    <row r="46" spans="1:37" ht="15.6" x14ac:dyDescent="0.3">
      <c r="A46" s="18" t="s">
        <v>25</v>
      </c>
      <c r="B46" s="19"/>
      <c r="C46" s="19">
        <f>+C28</f>
        <v>-666666.66666666663</v>
      </c>
      <c r="D46" s="19">
        <f t="shared" ref="D46:L46" si="7">+D28</f>
        <v>-666666.66666666663</v>
      </c>
      <c r="E46" s="19">
        <f t="shared" si="7"/>
        <v>-666666.66666666663</v>
      </c>
      <c r="F46" s="19">
        <f t="shared" si="7"/>
        <v>-666666.66666666663</v>
      </c>
      <c r="G46" s="19">
        <f t="shared" si="7"/>
        <v>-666666.66666666663</v>
      </c>
      <c r="H46" s="19">
        <f t="shared" si="7"/>
        <v>-666666.66666666663</v>
      </c>
      <c r="I46" s="19">
        <f t="shared" si="7"/>
        <v>0</v>
      </c>
      <c r="J46" s="19">
        <f t="shared" si="7"/>
        <v>0</v>
      </c>
      <c r="K46" s="19">
        <f t="shared" si="7"/>
        <v>0</v>
      </c>
      <c r="L46" s="19">
        <f t="shared" si="7"/>
        <v>0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1"/>
      <c r="AK46" s="31"/>
    </row>
    <row r="47" spans="1:37" ht="16.2" thickBot="1" x14ac:dyDescent="0.35">
      <c r="A47" s="21" t="s">
        <v>35</v>
      </c>
      <c r="B47" s="22"/>
      <c r="C47" s="22">
        <f>SUM(C45:C46)</f>
        <v>-216666.66666666663</v>
      </c>
      <c r="D47" s="22">
        <f t="shared" ref="D47:L47" si="8">SUM(D45:D46)</f>
        <v>-171666.66666666657</v>
      </c>
      <c r="E47" s="22">
        <f t="shared" si="8"/>
        <v>-186516.66666666657</v>
      </c>
      <c r="F47" s="22">
        <f t="shared" si="8"/>
        <v>-200921.16666666657</v>
      </c>
      <c r="G47" s="22">
        <f t="shared" si="8"/>
        <v>-154346.61666666652</v>
      </c>
      <c r="H47" s="22">
        <f t="shared" si="8"/>
        <v>-173112.66666666663</v>
      </c>
      <c r="I47" s="22">
        <f t="shared" si="8"/>
        <v>478747.38</v>
      </c>
      <c r="J47" s="22">
        <f t="shared" si="8"/>
        <v>580000</v>
      </c>
      <c r="K47" s="22">
        <f t="shared" si="8"/>
        <v>460000</v>
      </c>
      <c r="L47" s="22">
        <f t="shared" si="8"/>
        <v>650000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30"/>
      <c r="AH47" s="30"/>
      <c r="AI47" s="30"/>
      <c r="AJ47" s="31"/>
      <c r="AK47" s="31"/>
    </row>
    <row r="48" spans="1:37" ht="16.2" thickTop="1" x14ac:dyDescent="0.3">
      <c r="A48" s="2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1"/>
      <c r="AK48" s="31"/>
    </row>
    <row r="49" spans="1:37" ht="18" x14ac:dyDescent="0.35">
      <c r="A49" s="39" t="s">
        <v>36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1"/>
      <c r="AK49" s="31"/>
    </row>
    <row r="50" spans="1:37" ht="15.6" x14ac:dyDescent="0.3">
      <c r="A50" s="23" t="s">
        <v>37</v>
      </c>
      <c r="B50" s="35"/>
      <c r="C50" s="35">
        <f t="shared" ref="C50:L50" si="9">IF(C47&lt;0, 0,IF(($J$41*$C$40)&gt;C47,C47,$J$41*$C$40))</f>
        <v>0</v>
      </c>
      <c r="D50" s="35">
        <f t="shared" si="9"/>
        <v>0</v>
      </c>
      <c r="E50" s="35">
        <f t="shared" si="9"/>
        <v>0</v>
      </c>
      <c r="F50" s="35">
        <f t="shared" si="9"/>
        <v>0</v>
      </c>
      <c r="G50" s="35">
        <f t="shared" si="9"/>
        <v>0</v>
      </c>
      <c r="H50" s="35">
        <f t="shared" si="9"/>
        <v>0</v>
      </c>
      <c r="I50" s="35">
        <f t="shared" si="9"/>
        <v>72000</v>
      </c>
      <c r="J50" s="35">
        <f t="shared" si="9"/>
        <v>72000</v>
      </c>
      <c r="K50" s="35">
        <f t="shared" si="9"/>
        <v>72000</v>
      </c>
      <c r="L50" s="35">
        <f t="shared" si="9"/>
        <v>72000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1"/>
      <c r="AK50" s="31"/>
    </row>
    <row r="51" spans="1:37" ht="15.6" x14ac:dyDescent="0.3">
      <c r="A51" s="23" t="s">
        <v>38</v>
      </c>
      <c r="B51" s="35"/>
      <c r="C51" s="35"/>
      <c r="D51" s="35">
        <f t="shared" ref="D51:L51" si="10">($C$40*$J$41)-C50</f>
        <v>72000</v>
      </c>
      <c r="E51" s="35">
        <f t="shared" si="10"/>
        <v>72000</v>
      </c>
      <c r="F51" s="35">
        <f t="shared" si="10"/>
        <v>72000</v>
      </c>
      <c r="G51" s="35">
        <f t="shared" si="10"/>
        <v>72000</v>
      </c>
      <c r="H51" s="35">
        <f t="shared" si="10"/>
        <v>72000</v>
      </c>
      <c r="I51" s="35">
        <f t="shared" si="10"/>
        <v>72000</v>
      </c>
      <c r="J51" s="35">
        <f t="shared" si="10"/>
        <v>0</v>
      </c>
      <c r="K51" s="35">
        <f t="shared" si="10"/>
        <v>0</v>
      </c>
      <c r="L51" s="35">
        <f t="shared" si="10"/>
        <v>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1"/>
      <c r="AK51" s="31"/>
    </row>
    <row r="52" spans="1:37" ht="15.6" x14ac:dyDescent="0.3">
      <c r="A52" s="23" t="s">
        <v>39</v>
      </c>
      <c r="B52" s="35"/>
      <c r="C52" s="35">
        <f>IF((C50+C60)&lt;C47,(C47-C50-C60)*$C$41,0)</f>
        <v>0</v>
      </c>
      <c r="D52" s="35">
        <f t="shared" ref="D52:L52" si="11">IF((D50+D51+D60)&lt;D47,(D47-D50-D51-D60)*$C$41,0)</f>
        <v>0</v>
      </c>
      <c r="E52" s="35">
        <f t="shared" si="11"/>
        <v>0</v>
      </c>
      <c r="F52" s="35">
        <f t="shared" si="11"/>
        <v>0</v>
      </c>
      <c r="G52" s="35">
        <f t="shared" si="11"/>
        <v>0</v>
      </c>
      <c r="H52" s="35">
        <f t="shared" si="11"/>
        <v>0</v>
      </c>
      <c r="I52" s="35">
        <f t="shared" si="11"/>
        <v>157648.42799999999</v>
      </c>
      <c r="J52" s="35">
        <f t="shared" si="11"/>
        <v>261600</v>
      </c>
      <c r="K52" s="35">
        <f t="shared" si="11"/>
        <v>189600</v>
      </c>
      <c r="L52" s="35">
        <f t="shared" si="11"/>
        <v>306192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1"/>
      <c r="AK52" s="31"/>
    </row>
    <row r="53" spans="1:37" ht="15.6" x14ac:dyDescent="0.3">
      <c r="A53" s="23" t="s">
        <v>40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f>J41</f>
        <v>1200000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1"/>
      <c r="AK53" s="31"/>
    </row>
    <row r="54" spans="1:37" ht="15.6" x14ac:dyDescent="0.3">
      <c r="A54" s="23" t="s">
        <v>41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>
        <f>(L12+L29-J41-L62)*C42</f>
        <v>-413999.99999999977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1"/>
      <c r="AK54" s="31"/>
    </row>
    <row r="55" spans="1:37" ht="16.2" thickBot="1" x14ac:dyDescent="0.35">
      <c r="A55" s="21" t="s">
        <v>42</v>
      </c>
      <c r="B55" s="22">
        <f>-J41</f>
        <v>-1200000</v>
      </c>
      <c r="C55" s="22">
        <f>SUM(C50:C54)</f>
        <v>0</v>
      </c>
      <c r="D55" s="22">
        <f t="shared" ref="D55:L55" si="12">SUM(D50:D54)</f>
        <v>72000</v>
      </c>
      <c r="E55" s="22">
        <f t="shared" si="12"/>
        <v>72000</v>
      </c>
      <c r="F55" s="22">
        <f t="shared" si="12"/>
        <v>72000</v>
      </c>
      <c r="G55" s="22">
        <f t="shared" si="12"/>
        <v>72000</v>
      </c>
      <c r="H55" s="22">
        <f t="shared" si="12"/>
        <v>72000</v>
      </c>
      <c r="I55" s="22">
        <f t="shared" si="12"/>
        <v>301648.42799999996</v>
      </c>
      <c r="J55" s="22">
        <f t="shared" si="12"/>
        <v>333600</v>
      </c>
      <c r="K55" s="22">
        <f t="shared" si="12"/>
        <v>261600</v>
      </c>
      <c r="L55" s="22">
        <f t="shared" si="12"/>
        <v>1164192.0000000002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1"/>
      <c r="AK55" s="31"/>
    </row>
    <row r="56" spans="1:37" ht="16.2" thickTop="1" x14ac:dyDescent="0.3">
      <c r="A56" s="23" t="s">
        <v>18</v>
      </c>
      <c r="B56" s="15"/>
      <c r="C56" s="36">
        <f>C55/-$B$55</f>
        <v>0</v>
      </c>
      <c r="D56" s="36">
        <f t="shared" ref="D56:K56" si="13">D55/-$B$55</f>
        <v>0.06</v>
      </c>
      <c r="E56" s="36">
        <f t="shared" si="13"/>
        <v>0.06</v>
      </c>
      <c r="F56" s="36">
        <f t="shared" si="13"/>
        <v>0.06</v>
      </c>
      <c r="G56" s="36">
        <f t="shared" si="13"/>
        <v>0.06</v>
      </c>
      <c r="H56" s="36">
        <f t="shared" si="13"/>
        <v>0.06</v>
      </c>
      <c r="I56" s="36">
        <f t="shared" si="13"/>
        <v>0.25137368999999998</v>
      </c>
      <c r="J56" s="36">
        <f t="shared" si="13"/>
        <v>0.27800000000000002</v>
      </c>
      <c r="K56" s="36">
        <f t="shared" si="13"/>
        <v>0.218</v>
      </c>
      <c r="L56" s="3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30"/>
      <c r="AH56" s="30"/>
      <c r="AI56" s="30"/>
      <c r="AJ56" s="31"/>
      <c r="AK56" s="31"/>
    </row>
    <row r="57" spans="1:37" ht="15.6" x14ac:dyDescent="0.3">
      <c r="A57" s="26" t="s">
        <v>43</v>
      </c>
      <c r="B57" s="27">
        <f>IRR(B55:L55)</f>
        <v>9.0181920499995849E-2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30"/>
      <c r="AH57" s="30"/>
      <c r="AI57" s="30"/>
      <c r="AJ57" s="31"/>
      <c r="AK57" s="31"/>
    </row>
    <row r="58" spans="1:37" ht="15.6" x14ac:dyDescent="0.3">
      <c r="A58" s="2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1"/>
      <c r="AK58" s="31"/>
    </row>
    <row r="59" spans="1:37" ht="18" x14ac:dyDescent="0.35">
      <c r="A59" s="39" t="s">
        <v>44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1"/>
      <c r="AK59" s="31"/>
    </row>
    <row r="60" spans="1:37" ht="15.6" x14ac:dyDescent="0.3">
      <c r="A60" s="23" t="s">
        <v>15</v>
      </c>
      <c r="B60" s="35"/>
      <c r="C60" s="35">
        <f>IF((C47-C50)&gt;((-$J$39-$J$40-$J$41)*$C$40),((-$J$39-$J$40-$J$41)*$C$40),C47-C50)*1</f>
        <v>-216666.66666666663</v>
      </c>
      <c r="D60" s="35">
        <f t="shared" ref="D60:K60" si="14">IF((D47-D50-D51)&gt;((-$J$39-$J$40-$J$41)*$C$40),((-$J$39-$J$40-$J$41)*$C$40),D47-D50-D51)*1</f>
        <v>-243666.66666666657</v>
      </c>
      <c r="E60" s="35">
        <f t="shared" si="14"/>
        <v>-258516.66666666657</v>
      </c>
      <c r="F60" s="35">
        <f t="shared" si="14"/>
        <v>-272921.16666666657</v>
      </c>
      <c r="G60" s="35">
        <f t="shared" si="14"/>
        <v>-226346.61666666652</v>
      </c>
      <c r="H60" s="35">
        <f t="shared" si="14"/>
        <v>-245112.66666666663</v>
      </c>
      <c r="I60" s="35">
        <f t="shared" si="14"/>
        <v>72000</v>
      </c>
      <c r="J60" s="35">
        <f t="shared" si="14"/>
        <v>72000</v>
      </c>
      <c r="K60" s="35">
        <f t="shared" si="14"/>
        <v>72000</v>
      </c>
      <c r="L60" s="35">
        <f>IF((L47-L50-L51)&gt;((-$J$39-$J$40-$J$41)*$C$40),((-$J$39-$J$40-$J$41-K60)*$C$40),L47-L50-L51)*1</f>
        <v>67680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1"/>
      <c r="AK60" s="31"/>
    </row>
    <row r="61" spans="1:37" ht="15.6" x14ac:dyDescent="0.3">
      <c r="A61" s="23" t="s">
        <v>39</v>
      </c>
      <c r="B61" s="35"/>
      <c r="C61" s="35">
        <f t="shared" ref="C61:L61" si="15">(C52/$C$41)*(1-$C$41)</f>
        <v>0</v>
      </c>
      <c r="D61" s="35">
        <f t="shared" si="15"/>
        <v>0</v>
      </c>
      <c r="E61" s="35">
        <f t="shared" si="15"/>
        <v>0</v>
      </c>
      <c r="F61" s="35">
        <f t="shared" si="15"/>
        <v>0</v>
      </c>
      <c r="G61" s="35">
        <f t="shared" si="15"/>
        <v>0</v>
      </c>
      <c r="H61" s="35">
        <f t="shared" si="15"/>
        <v>0</v>
      </c>
      <c r="I61" s="35">
        <f t="shared" si="15"/>
        <v>105098.952</v>
      </c>
      <c r="J61" s="35">
        <f t="shared" si="15"/>
        <v>174400</v>
      </c>
      <c r="K61" s="35">
        <f t="shared" si="15"/>
        <v>126400</v>
      </c>
      <c r="L61" s="35">
        <f t="shared" si="15"/>
        <v>204128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1"/>
      <c r="AK61" s="31"/>
    </row>
    <row r="62" spans="1:37" ht="15.6" x14ac:dyDescent="0.3">
      <c r="A62" s="23" t="s">
        <v>40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>
        <f>J42-K60</f>
        <v>1128000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1"/>
      <c r="AK62" s="31"/>
    </row>
    <row r="63" spans="1:37" ht="15.6" x14ac:dyDescent="0.3">
      <c r="A63" s="23" t="s">
        <v>41</v>
      </c>
      <c r="B63" s="23"/>
      <c r="C63" s="35"/>
      <c r="D63" s="35"/>
      <c r="E63" s="35"/>
      <c r="F63" s="35"/>
      <c r="G63" s="35"/>
      <c r="H63" s="35"/>
      <c r="I63" s="35"/>
      <c r="J63" s="35"/>
      <c r="K63" s="35"/>
      <c r="L63" s="35">
        <f>(L12+L29-J41-L62)*(1-C42)</f>
        <v>-413999.99999999977</v>
      </c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1"/>
      <c r="AK63" s="31"/>
    </row>
    <row r="64" spans="1:37" ht="16.2" thickBot="1" x14ac:dyDescent="0.35">
      <c r="A64" s="21" t="s">
        <v>45</v>
      </c>
      <c r="B64" s="22">
        <f>-J42</f>
        <v>-1200000</v>
      </c>
      <c r="C64" s="22">
        <f>SUM(C60:C63)</f>
        <v>-216666.66666666663</v>
      </c>
      <c r="D64" s="22">
        <f t="shared" ref="D64:L64" si="16">SUM(D60:D63)</f>
        <v>-243666.66666666657</v>
      </c>
      <c r="E64" s="22">
        <f t="shared" si="16"/>
        <v>-258516.66666666657</v>
      </c>
      <c r="F64" s="22">
        <f t="shared" si="16"/>
        <v>-272921.16666666657</v>
      </c>
      <c r="G64" s="22">
        <f t="shared" si="16"/>
        <v>-226346.61666666652</v>
      </c>
      <c r="H64" s="22">
        <f t="shared" si="16"/>
        <v>-245112.66666666663</v>
      </c>
      <c r="I64" s="22">
        <f t="shared" si="16"/>
        <v>177098.95199999999</v>
      </c>
      <c r="J64" s="22">
        <f t="shared" si="16"/>
        <v>246400</v>
      </c>
      <c r="K64" s="22">
        <f t="shared" si="16"/>
        <v>198400</v>
      </c>
      <c r="L64" s="22">
        <f t="shared" si="16"/>
        <v>985808.00000000023</v>
      </c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1"/>
      <c r="AK64" s="31"/>
    </row>
    <row r="65" spans="1:37" ht="16.2" thickTop="1" x14ac:dyDescent="0.3">
      <c r="A65" s="23" t="s">
        <v>18</v>
      </c>
      <c r="B65" s="15"/>
      <c r="C65" s="36">
        <f>C64/-$B$64</f>
        <v>-0.18055555555555552</v>
      </c>
      <c r="D65" s="36">
        <f t="shared" ref="D65:K65" si="17">D64/-$B$64</f>
        <v>-0.20305555555555546</v>
      </c>
      <c r="E65" s="36">
        <f t="shared" si="17"/>
        <v>-0.21543055555555549</v>
      </c>
      <c r="F65" s="36">
        <f t="shared" si="17"/>
        <v>-0.22743430555555547</v>
      </c>
      <c r="G65" s="36">
        <f t="shared" si="17"/>
        <v>-0.18862218055555544</v>
      </c>
      <c r="H65" s="36">
        <f t="shared" si="17"/>
        <v>-0.20426055555555553</v>
      </c>
      <c r="I65" s="36">
        <f t="shared" si="17"/>
        <v>0.14758246</v>
      </c>
      <c r="J65" s="36">
        <f t="shared" si="17"/>
        <v>0.20533333333333334</v>
      </c>
      <c r="K65" s="36">
        <f t="shared" si="17"/>
        <v>0.16533333333333333</v>
      </c>
      <c r="L65" s="3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30"/>
      <c r="AH65" s="30"/>
      <c r="AI65" s="30"/>
      <c r="AJ65" s="31"/>
      <c r="AK65" s="31"/>
    </row>
    <row r="66" spans="1:37" ht="15.6" x14ac:dyDescent="0.3">
      <c r="A66" s="26" t="s">
        <v>46</v>
      </c>
      <c r="B66" s="27">
        <f>IRR(B64:L64)</f>
        <v>-6.7984887726147858E-2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30"/>
      <c r="AH66" s="30"/>
      <c r="AI66" s="30"/>
      <c r="AJ66" s="31"/>
      <c r="AK66" s="31"/>
    </row>
    <row r="67" spans="1:37" ht="15.6" x14ac:dyDescent="0.3">
      <c r="A67" s="24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1"/>
      <c r="AK67" s="31"/>
    </row>
    <row r="68" spans="1:37" ht="15.6" x14ac:dyDescent="0.3">
      <c r="A68" s="24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1"/>
      <c r="AK68" s="31"/>
    </row>
    <row r="69" spans="1:37" ht="15.6" x14ac:dyDescent="0.3">
      <c r="A69" s="24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1"/>
      <c r="AK69" s="31"/>
    </row>
    <row r="70" spans="1:37" ht="15.6" x14ac:dyDescent="0.3">
      <c r="A70" s="24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1"/>
      <c r="AK70" s="31"/>
    </row>
    <row r="135" spans="2:2" ht="15.6" x14ac:dyDescent="0.3">
      <c r="B135" s="30"/>
    </row>
  </sheetData>
  <conditionalFormatting sqref="B13:L1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B1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B30:L3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B3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B47:L4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B55:L5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B5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64:L6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6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35433070866141736" right="0.35433070866141736" top="0.98425196850393704" bottom="0.98425196850393704" header="0.51181102362204722" footer="0.51181102362204722"/>
  <pageSetup scale="5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</vt:lpstr>
      <vt:lpstr>ANALISI INVESTIMENTO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patron</dc:creator>
  <cp:lastModifiedBy>daniele patron</cp:lastModifiedBy>
  <dcterms:created xsi:type="dcterms:W3CDTF">2019-04-05T14:36:53Z</dcterms:created>
  <dcterms:modified xsi:type="dcterms:W3CDTF">2019-04-05T14:38:08Z</dcterms:modified>
</cp:coreProperties>
</file>